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 Sistemas\SIF\2021 anual\"/>
    </mc:Choice>
  </mc:AlternateContent>
  <bookViews>
    <workbookView xWindow="0" yWindow="0" windowWidth="28800" windowHeight="12315" activeTab="1"/>
  </bookViews>
  <sheets>
    <sheet name="PIGOO" sheetId="1" r:id="rId1"/>
    <sheet name="INDICADORES" sheetId="2" r:id="rId2"/>
  </sheets>
  <externalReferences>
    <externalReference r:id="rId3"/>
    <externalReference r:id="rId4"/>
  </externalReferences>
  <definedNames>
    <definedName name="Admin.">'[1]Gastos de Admin.'!$H$234</definedName>
    <definedName name="_xlnm.Extract">#REF!</definedName>
    <definedName name="_xlnm.Print_Area" localSheetId="0">PIGOO!$A$1:$R$205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_xlnm.Print_Titles" localSheetId="0">PIGOO!$9:$10</definedName>
    <definedName name="Tot.Gastos">#REF!</definedName>
    <definedName name="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9" i="2" l="1"/>
  <c r="N219" i="2"/>
  <c r="M219" i="2"/>
  <c r="L219" i="2"/>
  <c r="K219" i="2"/>
  <c r="J219" i="2"/>
  <c r="I219" i="2"/>
  <c r="O218" i="2"/>
  <c r="N218" i="2"/>
  <c r="M218" i="2"/>
  <c r="L218" i="2"/>
  <c r="K218" i="2"/>
  <c r="J218" i="2"/>
  <c r="I218" i="2"/>
  <c r="D218" i="2"/>
  <c r="O217" i="2"/>
  <c r="N217" i="2"/>
  <c r="M217" i="2"/>
  <c r="L217" i="2"/>
  <c r="K217" i="2"/>
  <c r="J217" i="2"/>
  <c r="I217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O208" i="2"/>
  <c r="N208" i="2"/>
  <c r="M208" i="2"/>
  <c r="M212" i="2" s="1"/>
  <c r="L208" i="2"/>
  <c r="L212" i="2" s="1"/>
  <c r="K208" i="2"/>
  <c r="J208" i="2"/>
  <c r="J212" i="2" s="1"/>
  <c r="I208" i="2"/>
  <c r="I212" i="2" s="1"/>
  <c r="H208" i="2"/>
  <c r="G208" i="2"/>
  <c r="F208" i="2"/>
  <c r="E208" i="2"/>
  <c r="E212" i="2" s="1"/>
  <c r="D208" i="2"/>
  <c r="D212" i="2" s="1"/>
  <c r="F207" i="2"/>
  <c r="L205" i="2"/>
  <c r="L206" i="2" s="1"/>
  <c r="F205" i="2"/>
  <c r="F206" i="2" s="1"/>
  <c r="D205" i="2"/>
  <c r="D206" i="2" s="1"/>
  <c r="O203" i="2"/>
  <c r="O205" i="2" s="1"/>
  <c r="O206" i="2" s="1"/>
  <c r="N203" i="2"/>
  <c r="N209" i="2" s="1"/>
  <c r="M203" i="2"/>
  <c r="M205" i="2" s="1"/>
  <c r="M206" i="2" s="1"/>
  <c r="L203" i="2"/>
  <c r="K203" i="2"/>
  <c r="K205" i="2" s="1"/>
  <c r="K206" i="2" s="1"/>
  <c r="J203" i="2"/>
  <c r="J205" i="2" s="1"/>
  <c r="J206" i="2" s="1"/>
  <c r="I203" i="2"/>
  <c r="I205" i="2" s="1"/>
  <c r="I206" i="2" s="1"/>
  <c r="H203" i="2"/>
  <c r="H205" i="2" s="1"/>
  <c r="H206" i="2" s="1"/>
  <c r="G203" i="2"/>
  <c r="G205" i="2" s="1"/>
  <c r="G206" i="2" s="1"/>
  <c r="F203" i="2"/>
  <c r="E203" i="2"/>
  <c r="E205" i="2" s="1"/>
  <c r="E206" i="2" s="1"/>
  <c r="D203" i="2"/>
  <c r="N202" i="2"/>
  <c r="F202" i="2"/>
  <c r="K201" i="2"/>
  <c r="K202" i="2" s="1"/>
  <c r="O199" i="2"/>
  <c r="O209" i="2" s="1"/>
  <c r="N199" i="2"/>
  <c r="N201" i="2" s="1"/>
  <c r="M199" i="2"/>
  <c r="L199" i="2"/>
  <c r="K199" i="2"/>
  <c r="K209" i="2" s="1"/>
  <c r="J199" i="2"/>
  <c r="J201" i="2" s="1"/>
  <c r="J202" i="2" s="1"/>
  <c r="I199" i="2"/>
  <c r="H199" i="2"/>
  <c r="H201" i="2" s="1"/>
  <c r="H202" i="2" s="1"/>
  <c r="G199" i="2"/>
  <c r="F199" i="2"/>
  <c r="F201" i="2" s="1"/>
  <c r="E199" i="2"/>
  <c r="D199" i="2"/>
  <c r="J198" i="2"/>
  <c r="N197" i="2"/>
  <c r="N198" i="2" s="1"/>
  <c r="F197" i="2"/>
  <c r="F198" i="2" s="1"/>
  <c r="O195" i="2"/>
  <c r="O197" i="2" s="1"/>
  <c r="O198" i="2" s="1"/>
  <c r="N195" i="2"/>
  <c r="M195" i="2"/>
  <c r="M197" i="2" s="1"/>
  <c r="M198" i="2" s="1"/>
  <c r="L195" i="2"/>
  <c r="L197" i="2" s="1"/>
  <c r="L198" i="2" s="1"/>
  <c r="K195" i="2"/>
  <c r="K197" i="2" s="1"/>
  <c r="K198" i="2" s="1"/>
  <c r="J195" i="2"/>
  <c r="J197" i="2" s="1"/>
  <c r="I195" i="2"/>
  <c r="I197" i="2" s="1"/>
  <c r="I198" i="2" s="1"/>
  <c r="H195" i="2"/>
  <c r="H197" i="2" s="1"/>
  <c r="H198" i="2" s="1"/>
  <c r="G195" i="2"/>
  <c r="G197" i="2" s="1"/>
  <c r="G198" i="2" s="1"/>
  <c r="F195" i="2"/>
  <c r="E195" i="2"/>
  <c r="E197" i="2" s="1"/>
  <c r="E198" i="2" s="1"/>
  <c r="D195" i="2"/>
  <c r="D197" i="2" s="1"/>
  <c r="D198" i="2" s="1"/>
  <c r="J193" i="2"/>
  <c r="J194" i="2" s="1"/>
  <c r="O191" i="2"/>
  <c r="N191" i="2"/>
  <c r="N193" i="2" s="1"/>
  <c r="N194" i="2" s="1"/>
  <c r="M191" i="2"/>
  <c r="M207" i="2" s="1"/>
  <c r="L191" i="2"/>
  <c r="K191" i="2"/>
  <c r="K193" i="2" s="1"/>
  <c r="K194" i="2" s="1"/>
  <c r="J191" i="2"/>
  <c r="J207" i="2" s="1"/>
  <c r="I191" i="2"/>
  <c r="I193" i="2" s="1"/>
  <c r="I194" i="2" s="1"/>
  <c r="H191" i="2"/>
  <c r="H193" i="2" s="1"/>
  <c r="H194" i="2" s="1"/>
  <c r="G191" i="2"/>
  <c r="F191" i="2"/>
  <c r="F193" i="2" s="1"/>
  <c r="F194" i="2" s="1"/>
  <c r="E191" i="2"/>
  <c r="D191" i="2"/>
  <c r="D193" i="2" s="1"/>
  <c r="D194" i="2" s="1"/>
  <c r="O190" i="2"/>
  <c r="N190" i="2"/>
  <c r="M190" i="2"/>
  <c r="L190" i="2"/>
  <c r="K190" i="2"/>
  <c r="J190" i="2"/>
  <c r="I190" i="2"/>
  <c r="H190" i="2"/>
  <c r="G190" i="2"/>
  <c r="F190" i="2"/>
  <c r="E190" i="2"/>
  <c r="D190" i="2"/>
  <c r="D186" i="2"/>
  <c r="E186" i="2" s="1"/>
  <c r="F186" i="2" s="1"/>
  <c r="G186" i="2" s="1"/>
  <c r="H186" i="2" s="1"/>
  <c r="I186" i="2" s="1"/>
  <c r="J186" i="2" s="1"/>
  <c r="K186" i="2" s="1"/>
  <c r="L186" i="2" s="1"/>
  <c r="M186" i="2" s="1"/>
  <c r="N186" i="2" s="1"/>
  <c r="O186" i="2" s="1"/>
  <c r="O183" i="2"/>
  <c r="N183" i="2"/>
  <c r="M183" i="2"/>
  <c r="L183" i="2"/>
  <c r="K183" i="2"/>
  <c r="J183" i="2"/>
  <c r="I183" i="2"/>
  <c r="H183" i="2"/>
  <c r="G183" i="2"/>
  <c r="F183" i="2"/>
  <c r="E183" i="2"/>
  <c r="D183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E168" i="2"/>
  <c r="F168" i="2" s="1"/>
  <c r="G168" i="2" s="1"/>
  <c r="H168" i="2" s="1"/>
  <c r="I168" i="2" s="1"/>
  <c r="J168" i="2" s="1"/>
  <c r="O167" i="2"/>
  <c r="N167" i="2"/>
  <c r="M167" i="2"/>
  <c r="L167" i="2"/>
  <c r="K167" i="2"/>
  <c r="J167" i="2"/>
  <c r="I167" i="2"/>
  <c r="H167" i="2"/>
  <c r="G167" i="2"/>
  <c r="F167" i="2"/>
  <c r="E167" i="2"/>
  <c r="D167" i="2"/>
  <c r="D168" i="2" s="1"/>
  <c r="O164" i="2"/>
  <c r="N164" i="2"/>
  <c r="M164" i="2"/>
  <c r="L164" i="2"/>
  <c r="K164" i="2"/>
  <c r="J164" i="2"/>
  <c r="I164" i="2"/>
  <c r="H164" i="2"/>
  <c r="G164" i="2"/>
  <c r="F164" i="2"/>
  <c r="E164" i="2"/>
  <c r="D164" i="2"/>
  <c r="D165" i="2" s="1"/>
  <c r="E165" i="2" s="1"/>
  <c r="F165" i="2" s="1"/>
  <c r="D163" i="2"/>
  <c r="N162" i="2"/>
  <c r="L162" i="2"/>
  <c r="K162" i="2"/>
  <c r="J162" i="2"/>
  <c r="I162" i="2"/>
  <c r="H162" i="2"/>
  <c r="G162" i="2"/>
  <c r="F162" i="2"/>
  <c r="E162" i="2"/>
  <c r="D162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E150" i="2"/>
  <c r="F150" i="2" s="1"/>
  <c r="G150" i="2" s="1"/>
  <c r="H150" i="2" s="1"/>
  <c r="I150" i="2" s="1"/>
  <c r="J150" i="2" s="1"/>
  <c r="K150" i="2" s="1"/>
  <c r="L150" i="2" s="1"/>
  <c r="M150" i="2" s="1"/>
  <c r="N150" i="2" s="1"/>
  <c r="O150" i="2" s="1"/>
  <c r="D150" i="2"/>
  <c r="D149" i="2"/>
  <c r="E149" i="2" s="1"/>
  <c r="O147" i="2"/>
  <c r="N147" i="2"/>
  <c r="M147" i="2"/>
  <c r="L147" i="2"/>
  <c r="K147" i="2"/>
  <c r="J147" i="2"/>
  <c r="I147" i="2"/>
  <c r="H147" i="2"/>
  <c r="G147" i="2"/>
  <c r="F147" i="2"/>
  <c r="E147" i="2"/>
  <c r="D147" i="2"/>
  <c r="D144" i="2"/>
  <c r="H143" i="2"/>
  <c r="E143" i="2"/>
  <c r="F143" i="2" s="1"/>
  <c r="G143" i="2" s="1"/>
  <c r="D143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D138" i="2"/>
  <c r="E138" i="2" s="1"/>
  <c r="F138" i="2" s="1"/>
  <c r="G138" i="2" s="1"/>
  <c r="H138" i="2" s="1"/>
  <c r="I138" i="2" s="1"/>
  <c r="J138" i="2" s="1"/>
  <c r="K138" i="2" s="1"/>
  <c r="L138" i="2" s="1"/>
  <c r="M138" i="2" s="1"/>
  <c r="N138" i="2" s="1"/>
  <c r="O138" i="2" s="1"/>
  <c r="D137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D132" i="2"/>
  <c r="D131" i="2"/>
  <c r="E131" i="2" s="1"/>
  <c r="O129" i="2"/>
  <c r="N129" i="2"/>
  <c r="M129" i="2"/>
  <c r="L129" i="2"/>
  <c r="K129" i="2"/>
  <c r="J129" i="2"/>
  <c r="I129" i="2"/>
  <c r="H129" i="2"/>
  <c r="G129" i="2"/>
  <c r="F129" i="2"/>
  <c r="E129" i="2"/>
  <c r="D129" i="2"/>
  <c r="D126" i="2"/>
  <c r="E126" i="2" s="1"/>
  <c r="F126" i="2" s="1"/>
  <c r="G126" i="2" s="1"/>
  <c r="H126" i="2" s="1"/>
  <c r="I126" i="2" s="1"/>
  <c r="J126" i="2" s="1"/>
  <c r="K126" i="2" s="1"/>
  <c r="L126" i="2" s="1"/>
  <c r="M126" i="2" s="1"/>
  <c r="N126" i="2" s="1"/>
  <c r="O126" i="2" s="1"/>
  <c r="E125" i="2"/>
  <c r="D125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D120" i="2"/>
  <c r="E120" i="2" s="1"/>
  <c r="D119" i="2"/>
  <c r="E119" i="2" s="1"/>
  <c r="F119" i="2" s="1"/>
  <c r="K117" i="2"/>
  <c r="F117" i="2"/>
  <c r="E117" i="2"/>
  <c r="D117" i="2"/>
  <c r="O115" i="2"/>
  <c r="N115" i="2"/>
  <c r="N117" i="2" s="1"/>
  <c r="M115" i="2"/>
  <c r="M117" i="2" s="1"/>
  <c r="L115" i="2"/>
  <c r="K115" i="2"/>
  <c r="J115" i="2"/>
  <c r="J117" i="2" s="1"/>
  <c r="I115" i="2"/>
  <c r="I117" i="2" s="1"/>
  <c r="H115" i="2"/>
  <c r="H117" i="2" s="1"/>
  <c r="G115" i="2"/>
  <c r="D114" i="2"/>
  <c r="E114" i="2" s="1"/>
  <c r="F114" i="2" s="1"/>
  <c r="G114" i="2" s="1"/>
  <c r="H114" i="2" s="1"/>
  <c r="I114" i="2" s="1"/>
  <c r="J114" i="2" s="1"/>
  <c r="K114" i="2" s="1"/>
  <c r="L114" i="2" s="1"/>
  <c r="M114" i="2" s="1"/>
  <c r="N114" i="2" s="1"/>
  <c r="O114" i="2" s="1"/>
  <c r="O104" i="2"/>
  <c r="N104" i="2"/>
  <c r="M104" i="2"/>
  <c r="L104" i="2"/>
  <c r="K104" i="2"/>
  <c r="J104" i="2"/>
  <c r="I104" i="2"/>
  <c r="H104" i="2"/>
  <c r="G104" i="2"/>
  <c r="F104" i="2"/>
  <c r="E104" i="2"/>
  <c r="D104" i="2"/>
  <c r="N91" i="2"/>
  <c r="J88" i="2"/>
  <c r="D88" i="2"/>
  <c r="M85" i="2"/>
  <c r="D84" i="2"/>
  <c r="D90" i="2" s="1"/>
  <c r="E83" i="2"/>
  <c r="N81" i="2"/>
  <c r="F81" i="2"/>
  <c r="O79" i="2"/>
  <c r="O81" i="2" s="1"/>
  <c r="N79" i="2"/>
  <c r="M79" i="2"/>
  <c r="M81" i="2" s="1"/>
  <c r="L79" i="2"/>
  <c r="L81" i="2" s="1"/>
  <c r="K79" i="2"/>
  <c r="K81" i="2" s="1"/>
  <c r="J79" i="2"/>
  <c r="J81" i="2" s="1"/>
  <c r="I79" i="2"/>
  <c r="I81" i="2" s="1"/>
  <c r="H79" i="2"/>
  <c r="G79" i="2"/>
  <c r="G81" i="2" s="1"/>
  <c r="F79" i="2"/>
  <c r="E79" i="2"/>
  <c r="E81" i="2" s="1"/>
  <c r="D79" i="2"/>
  <c r="D83" i="2" s="1"/>
  <c r="D82" i="2" s="1"/>
  <c r="D78" i="2"/>
  <c r="E78" i="2" s="1"/>
  <c r="F78" i="2" s="1"/>
  <c r="G78" i="2" s="1"/>
  <c r="H78" i="2" s="1"/>
  <c r="I78" i="2" s="1"/>
  <c r="J78" i="2" s="1"/>
  <c r="K78" i="2" s="1"/>
  <c r="L78" i="2" s="1"/>
  <c r="M78" i="2" s="1"/>
  <c r="N78" i="2" s="1"/>
  <c r="O78" i="2" s="1"/>
  <c r="D77" i="2"/>
  <c r="D76" i="2" s="1"/>
  <c r="O75" i="2"/>
  <c r="N75" i="2"/>
  <c r="M75" i="2"/>
  <c r="L75" i="2"/>
  <c r="K75" i="2"/>
  <c r="J75" i="2"/>
  <c r="I75" i="2"/>
  <c r="H75" i="2"/>
  <c r="G75" i="2"/>
  <c r="F75" i="2"/>
  <c r="E75" i="2"/>
  <c r="D75" i="2"/>
  <c r="D72" i="2"/>
  <c r="D70" i="2" s="1"/>
  <c r="D71" i="2"/>
  <c r="O69" i="2"/>
  <c r="N69" i="2"/>
  <c r="M69" i="2"/>
  <c r="L69" i="2"/>
  <c r="K69" i="2"/>
  <c r="J69" i="2"/>
  <c r="I69" i="2"/>
  <c r="H69" i="2"/>
  <c r="G69" i="2"/>
  <c r="F69" i="2"/>
  <c r="E69" i="2"/>
  <c r="D69" i="2"/>
  <c r="E66" i="2"/>
  <c r="F66" i="2" s="1"/>
  <c r="G66" i="2" s="1"/>
  <c r="H66" i="2" s="1"/>
  <c r="I66" i="2" s="1"/>
  <c r="J66" i="2" s="1"/>
  <c r="K66" i="2" s="1"/>
  <c r="L66" i="2" s="1"/>
  <c r="M66" i="2" s="1"/>
  <c r="N66" i="2" s="1"/>
  <c r="O66" i="2" s="1"/>
  <c r="D66" i="2"/>
  <c r="G63" i="2"/>
  <c r="D63" i="2"/>
  <c r="O61" i="2"/>
  <c r="O63" i="2" s="1"/>
  <c r="N61" i="2"/>
  <c r="M61" i="2"/>
  <c r="M63" i="2" s="1"/>
  <c r="L61" i="2"/>
  <c r="K61" i="2"/>
  <c r="K88" i="2" s="1"/>
  <c r="J61" i="2"/>
  <c r="J63" i="2" s="1"/>
  <c r="I61" i="2"/>
  <c r="H61" i="2"/>
  <c r="H91" i="2" s="1"/>
  <c r="G61" i="2"/>
  <c r="F61" i="2"/>
  <c r="E61" i="2"/>
  <c r="E91" i="2" s="1"/>
  <c r="D61" i="2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O60" i="2" s="1"/>
  <c r="N57" i="2"/>
  <c r="M57" i="2"/>
  <c r="F57" i="2"/>
  <c r="O55" i="2"/>
  <c r="O57" i="2" s="1"/>
  <c r="N55" i="2"/>
  <c r="N85" i="2" s="1"/>
  <c r="M55" i="2"/>
  <c r="L55" i="2"/>
  <c r="L85" i="2" s="1"/>
  <c r="K55" i="2"/>
  <c r="K85" i="2" s="1"/>
  <c r="J55" i="2"/>
  <c r="J85" i="2" s="1"/>
  <c r="I55" i="2"/>
  <c r="H55" i="2"/>
  <c r="H57" i="2" s="1"/>
  <c r="G55" i="2"/>
  <c r="F55" i="2"/>
  <c r="F85" i="2" s="1"/>
  <c r="E55" i="2"/>
  <c r="E57" i="2" s="1"/>
  <c r="D55" i="2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D50" i="2"/>
  <c r="D49" i="2" s="1"/>
  <c r="O48" i="2"/>
  <c r="N48" i="2"/>
  <c r="M48" i="2"/>
  <c r="L48" i="2"/>
  <c r="K48" i="2"/>
  <c r="J48" i="2"/>
  <c r="I48" i="2"/>
  <c r="H48" i="2"/>
  <c r="G48" i="2"/>
  <c r="F48" i="2"/>
  <c r="E48" i="2"/>
  <c r="D48" i="2"/>
  <c r="D45" i="2"/>
  <c r="E45" i="2" s="1"/>
  <c r="F45" i="2" s="1"/>
  <c r="G45" i="2" s="1"/>
  <c r="H45" i="2" s="1"/>
  <c r="I45" i="2" s="1"/>
  <c r="J45" i="2" s="1"/>
  <c r="K45" i="2" s="1"/>
  <c r="L45" i="2" s="1"/>
  <c r="M45" i="2" s="1"/>
  <c r="N45" i="2" s="1"/>
  <c r="O45" i="2" s="1"/>
  <c r="F42" i="2"/>
  <c r="E42" i="2"/>
  <c r="O40" i="2"/>
  <c r="O42" i="2" s="1"/>
  <c r="N40" i="2"/>
  <c r="N42" i="2" s="1"/>
  <c r="M40" i="2"/>
  <c r="M42" i="2" s="1"/>
  <c r="L40" i="2"/>
  <c r="L42" i="2" s="1"/>
  <c r="K40" i="2"/>
  <c r="K42" i="2" s="1"/>
  <c r="J40" i="2"/>
  <c r="J42" i="2" s="1"/>
  <c r="I40" i="2"/>
  <c r="I42" i="2" s="1"/>
  <c r="H40" i="2"/>
  <c r="H42" i="2" s="1"/>
  <c r="G40" i="2"/>
  <c r="G42" i="2" s="1"/>
  <c r="F40" i="2"/>
  <c r="E40" i="2"/>
  <c r="D40" i="2"/>
  <c r="D44" i="2" s="1"/>
  <c r="D39" i="2"/>
  <c r="E39" i="2" s="1"/>
  <c r="L36" i="2"/>
  <c r="O34" i="2"/>
  <c r="O36" i="2" s="1"/>
  <c r="N34" i="2"/>
  <c r="M34" i="2"/>
  <c r="L34" i="2"/>
  <c r="K34" i="2"/>
  <c r="K36" i="2" s="1"/>
  <c r="J34" i="2"/>
  <c r="J36" i="2" s="1"/>
  <c r="I34" i="2"/>
  <c r="I36" i="2" s="1"/>
  <c r="H34" i="2"/>
  <c r="G34" i="2"/>
  <c r="G36" i="2" s="1"/>
  <c r="F34" i="2"/>
  <c r="F36" i="2" s="1"/>
  <c r="E34" i="2"/>
  <c r="D34" i="2"/>
  <c r="D36" i="2" s="1"/>
  <c r="E30" i="2"/>
  <c r="F30" i="2" s="1"/>
  <c r="G30" i="2" s="1"/>
  <c r="D30" i="2"/>
  <c r="D29" i="2"/>
  <c r="E29" i="2" s="1"/>
  <c r="O27" i="2"/>
  <c r="N27" i="2"/>
  <c r="M27" i="2"/>
  <c r="L27" i="2"/>
  <c r="K27" i="2"/>
  <c r="J27" i="2"/>
  <c r="I27" i="2"/>
  <c r="H27" i="2"/>
  <c r="G27" i="2"/>
  <c r="F27" i="2"/>
  <c r="E27" i="2"/>
  <c r="D27" i="2"/>
  <c r="D24" i="2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D23" i="2"/>
  <c r="G21" i="2"/>
  <c r="O19" i="2"/>
  <c r="O21" i="2" s="1"/>
  <c r="N19" i="2"/>
  <c r="N21" i="2" s="1"/>
  <c r="M19" i="2"/>
  <c r="M21" i="2" s="1"/>
  <c r="L19" i="2"/>
  <c r="L21" i="2" s="1"/>
  <c r="K19" i="2"/>
  <c r="K21" i="2" s="1"/>
  <c r="J19" i="2"/>
  <c r="J21" i="2" s="1"/>
  <c r="I19" i="2"/>
  <c r="I21" i="2" s="1"/>
  <c r="H19" i="2"/>
  <c r="H21" i="2" s="1"/>
  <c r="G19" i="2"/>
  <c r="F19" i="2"/>
  <c r="F21" i="2" s="1"/>
  <c r="E19" i="2"/>
  <c r="E21" i="2" s="1"/>
  <c r="D19" i="2"/>
  <c r="D21" i="2" s="1"/>
  <c r="D18" i="2"/>
  <c r="G15" i="2"/>
  <c r="K13" i="2"/>
  <c r="K97" i="2" s="1"/>
  <c r="E12" i="2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D12" i="2"/>
  <c r="O7" i="2"/>
  <c r="O95" i="2" s="1"/>
  <c r="M187" i="1"/>
  <c r="M186" i="1" s="1"/>
  <c r="L187" i="1"/>
  <c r="L186" i="1" s="1"/>
  <c r="K187" i="1"/>
  <c r="K186" i="1" s="1"/>
  <c r="J187" i="1"/>
  <c r="J186" i="1" s="1"/>
  <c r="I187" i="1"/>
  <c r="H187" i="1"/>
  <c r="G187" i="1"/>
  <c r="G186" i="1" s="1"/>
  <c r="F187" i="1"/>
  <c r="E187" i="1"/>
  <c r="D187" i="1"/>
  <c r="D186" i="1" s="1"/>
  <c r="C187" i="1"/>
  <c r="C186" i="1" s="1"/>
  <c r="B187" i="1"/>
  <c r="B186" i="1" s="1"/>
  <c r="I186" i="1"/>
  <c r="H186" i="1"/>
  <c r="F186" i="1"/>
  <c r="E186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65" i="1"/>
  <c r="D165" i="1" s="1"/>
  <c r="E165" i="1" s="1"/>
  <c r="F165" i="1" s="1"/>
  <c r="G165" i="1" s="1"/>
  <c r="H165" i="1" s="1"/>
  <c r="I165" i="1" s="1"/>
  <c r="J165" i="1" s="1"/>
  <c r="K165" i="1" s="1"/>
  <c r="L165" i="1" s="1"/>
  <c r="M165" i="1" s="1"/>
  <c r="C164" i="1"/>
  <c r="D164" i="1" s="1"/>
  <c r="E164" i="1" s="1"/>
  <c r="F164" i="1" s="1"/>
  <c r="G164" i="1" s="1"/>
  <c r="H164" i="1" s="1"/>
  <c r="I164" i="1" s="1"/>
  <c r="J164" i="1" s="1"/>
  <c r="K164" i="1" s="1"/>
  <c r="L164" i="1" s="1"/>
  <c r="M164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M153" i="1" s="1"/>
  <c r="L155" i="1"/>
  <c r="L153" i="1" s="1"/>
  <c r="K155" i="1"/>
  <c r="J155" i="1"/>
  <c r="J153" i="1" s="1"/>
  <c r="I155" i="1"/>
  <c r="I153" i="1" s="1"/>
  <c r="H155" i="1"/>
  <c r="H153" i="1" s="1"/>
  <c r="G155" i="1"/>
  <c r="G153" i="1" s="1"/>
  <c r="F155" i="1"/>
  <c r="E155" i="1"/>
  <c r="D155" i="1"/>
  <c r="C155" i="1"/>
  <c r="B155" i="1"/>
  <c r="B153" i="1" s="1"/>
  <c r="K153" i="1"/>
  <c r="F153" i="1"/>
  <c r="E153" i="1"/>
  <c r="D153" i="1"/>
  <c r="C153" i="1"/>
  <c r="D148" i="1"/>
  <c r="E148" i="1" s="1"/>
  <c r="F148" i="1" s="1"/>
  <c r="G148" i="1" s="1"/>
  <c r="H148" i="1" s="1"/>
  <c r="I148" i="1" s="1"/>
  <c r="J148" i="1" s="1"/>
  <c r="K148" i="1" s="1"/>
  <c r="L148" i="1" s="1"/>
  <c r="M148" i="1" s="1"/>
  <c r="C148" i="1"/>
  <c r="C147" i="1"/>
  <c r="D147" i="1" s="1"/>
  <c r="E147" i="1" s="1"/>
  <c r="F147" i="1" s="1"/>
  <c r="G147" i="1" s="1"/>
  <c r="H147" i="1" s="1"/>
  <c r="I147" i="1" s="1"/>
  <c r="J147" i="1" s="1"/>
  <c r="K147" i="1" s="1"/>
  <c r="L147" i="1" s="1"/>
  <c r="M147" i="1" s="1"/>
  <c r="C146" i="1"/>
  <c r="D146" i="1" s="1"/>
  <c r="E146" i="1" s="1"/>
  <c r="F146" i="1" s="1"/>
  <c r="G146" i="1" s="1"/>
  <c r="H146" i="1" s="1"/>
  <c r="I146" i="1" s="1"/>
  <c r="J146" i="1" s="1"/>
  <c r="K146" i="1" s="1"/>
  <c r="L146" i="1" s="1"/>
  <c r="M146" i="1" s="1"/>
  <c r="M139" i="1"/>
  <c r="L139" i="1"/>
  <c r="K139" i="1"/>
  <c r="J139" i="1"/>
  <c r="I139" i="1"/>
  <c r="H139" i="1"/>
  <c r="G139" i="1"/>
  <c r="F139" i="1"/>
  <c r="E139" i="1"/>
  <c r="D139" i="1"/>
  <c r="C139" i="1"/>
  <c r="B139" i="1"/>
  <c r="R133" i="1"/>
  <c r="R132" i="1" s="1"/>
  <c r="Q133" i="1"/>
  <c r="Q132" i="1" s="1"/>
  <c r="P133" i="1"/>
  <c r="O133" i="1"/>
  <c r="O132" i="1" s="1"/>
  <c r="N133" i="1"/>
  <c r="N132" i="1" s="1"/>
  <c r="P132" i="1"/>
  <c r="M132" i="1"/>
  <c r="M131" i="1" s="1"/>
  <c r="L132" i="1"/>
  <c r="K132" i="1"/>
  <c r="K131" i="1" s="1"/>
  <c r="J132" i="1"/>
  <c r="J131" i="1" s="1"/>
  <c r="I132" i="1"/>
  <c r="I131" i="1" s="1"/>
  <c r="H132" i="1"/>
  <c r="H131" i="1" s="1"/>
  <c r="G132" i="1"/>
  <c r="F132" i="1"/>
  <c r="F131" i="1" s="1"/>
  <c r="E132" i="1"/>
  <c r="E131" i="1" s="1"/>
  <c r="D132" i="1"/>
  <c r="D131" i="1" s="1"/>
  <c r="C132" i="1"/>
  <c r="C131" i="1" s="1"/>
  <c r="B132" i="1"/>
  <c r="B131" i="1" s="1"/>
  <c r="L131" i="1"/>
  <c r="G131" i="1"/>
  <c r="M119" i="1"/>
  <c r="O176" i="2" s="1"/>
  <c r="L119" i="1"/>
  <c r="N176" i="2" s="1"/>
  <c r="K119" i="1"/>
  <c r="M176" i="2" s="1"/>
  <c r="J119" i="1"/>
  <c r="L176" i="2" s="1"/>
  <c r="I119" i="1"/>
  <c r="K176" i="2" s="1"/>
  <c r="H119" i="1"/>
  <c r="J176" i="2" s="1"/>
  <c r="G119" i="1"/>
  <c r="I176" i="2" s="1"/>
  <c r="F119" i="1"/>
  <c r="E119" i="1"/>
  <c r="D119" i="1"/>
  <c r="C119" i="1"/>
  <c r="B119" i="1"/>
  <c r="D176" i="2" s="1"/>
  <c r="M113" i="1"/>
  <c r="L113" i="1"/>
  <c r="K113" i="1"/>
  <c r="M172" i="2" s="1"/>
  <c r="J113" i="1"/>
  <c r="I113" i="1"/>
  <c r="H113" i="1"/>
  <c r="G113" i="1"/>
  <c r="F113" i="1"/>
  <c r="F112" i="1" s="1"/>
  <c r="H171" i="2" s="1"/>
  <c r="E113" i="1"/>
  <c r="E168" i="1" s="1"/>
  <c r="G188" i="2" s="1"/>
  <c r="D113" i="1"/>
  <c r="C113" i="1"/>
  <c r="C112" i="1" s="1"/>
  <c r="C204" i="1" s="1"/>
  <c r="E169" i="2" s="1"/>
  <c r="B113" i="1"/>
  <c r="B168" i="1" s="1"/>
  <c r="D188" i="2" s="1"/>
  <c r="D189" i="2" s="1"/>
  <c r="L112" i="1"/>
  <c r="H112" i="1"/>
  <c r="D112" i="1"/>
  <c r="M107" i="1"/>
  <c r="O162" i="2" s="1"/>
  <c r="K107" i="1"/>
  <c r="M162" i="2" s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3" i="1"/>
  <c r="L93" i="1"/>
  <c r="K93" i="1"/>
  <c r="J93" i="1"/>
  <c r="I93" i="1"/>
  <c r="H93" i="1"/>
  <c r="G93" i="1"/>
  <c r="F93" i="1"/>
  <c r="E93" i="1"/>
  <c r="D93" i="1"/>
  <c r="C93" i="1"/>
  <c r="B93" i="1"/>
  <c r="M87" i="1"/>
  <c r="O109" i="2" s="1"/>
  <c r="L87" i="1"/>
  <c r="N109" i="2" s="1"/>
  <c r="K87" i="1"/>
  <c r="M109" i="2" s="1"/>
  <c r="J87" i="1"/>
  <c r="L109" i="2" s="1"/>
  <c r="I87" i="1"/>
  <c r="K109" i="2" s="1"/>
  <c r="H87" i="1"/>
  <c r="J109" i="2" s="1"/>
  <c r="G87" i="1"/>
  <c r="I109" i="2" s="1"/>
  <c r="F87" i="1"/>
  <c r="H109" i="2" s="1"/>
  <c r="E87" i="1"/>
  <c r="G109" i="2" s="1"/>
  <c r="D87" i="1"/>
  <c r="F109" i="2" s="1"/>
  <c r="C87" i="1"/>
  <c r="E109" i="2" s="1"/>
  <c r="B87" i="1"/>
  <c r="D109" i="2" s="1"/>
  <c r="N82" i="1"/>
  <c r="N81" i="1"/>
  <c r="M80" i="1"/>
  <c r="L80" i="1"/>
  <c r="K80" i="1"/>
  <c r="J80" i="1"/>
  <c r="I80" i="1"/>
  <c r="H80" i="1"/>
  <c r="G80" i="1"/>
  <c r="F80" i="1"/>
  <c r="E80" i="1"/>
  <c r="D80" i="1"/>
  <c r="C80" i="1"/>
  <c r="B80" i="1"/>
  <c r="N77" i="1"/>
  <c r="N76" i="1"/>
  <c r="N75" i="1"/>
  <c r="N74" i="1"/>
  <c r="N73" i="1"/>
  <c r="O73" i="1" s="1"/>
  <c r="D73" i="1"/>
  <c r="M72" i="1"/>
  <c r="O13" i="2" s="1"/>
  <c r="L72" i="1"/>
  <c r="N13" i="2" s="1"/>
  <c r="K72" i="1"/>
  <c r="M13" i="2" s="1"/>
  <c r="J72" i="1"/>
  <c r="L13" i="2" s="1"/>
  <c r="I72" i="1"/>
  <c r="H72" i="1"/>
  <c r="J13" i="2" s="1"/>
  <c r="G72" i="1"/>
  <c r="I13" i="2" s="1"/>
  <c r="I31" i="2" s="1"/>
  <c r="F72" i="1"/>
  <c r="H13" i="2" s="1"/>
  <c r="E72" i="1"/>
  <c r="G13" i="2" s="1"/>
  <c r="D72" i="1"/>
  <c r="F13" i="2" s="1"/>
  <c r="C72" i="1"/>
  <c r="E13" i="2" s="1"/>
  <c r="B72" i="1"/>
  <c r="D13" i="2" s="1"/>
  <c r="M66" i="1"/>
  <c r="L66" i="1"/>
  <c r="N7" i="2" s="1"/>
  <c r="K66" i="1"/>
  <c r="M7" i="2" s="1"/>
  <c r="M95" i="2" s="1"/>
  <c r="J66" i="1"/>
  <c r="L7" i="2" s="1"/>
  <c r="I66" i="1"/>
  <c r="K7" i="2" s="1"/>
  <c r="H66" i="1"/>
  <c r="J7" i="2" s="1"/>
  <c r="G66" i="1"/>
  <c r="I7" i="2" s="1"/>
  <c r="F66" i="1"/>
  <c r="H7" i="2" s="1"/>
  <c r="E66" i="1"/>
  <c r="G7" i="2" s="1"/>
  <c r="D66" i="1"/>
  <c r="F7" i="2" s="1"/>
  <c r="C66" i="1"/>
  <c r="E7" i="2" s="1"/>
  <c r="E95" i="2" s="1"/>
  <c r="B66" i="1"/>
  <c r="D7" i="2" s="1"/>
  <c r="D9" i="2" s="1"/>
  <c r="M57" i="1"/>
  <c r="O154" i="2" s="1"/>
  <c r="L57" i="1"/>
  <c r="N154" i="2" s="1"/>
  <c r="K57" i="1"/>
  <c r="M154" i="2" s="1"/>
  <c r="J57" i="1"/>
  <c r="L154" i="2" s="1"/>
  <c r="I57" i="1"/>
  <c r="K154" i="2" s="1"/>
  <c r="H57" i="1"/>
  <c r="J154" i="2" s="1"/>
  <c r="G57" i="1"/>
  <c r="I154" i="2" s="1"/>
  <c r="F57" i="1"/>
  <c r="H154" i="2" s="1"/>
  <c r="E57" i="1"/>
  <c r="G154" i="2" s="1"/>
  <c r="D57" i="1"/>
  <c r="F154" i="2" s="1"/>
  <c r="C57" i="1"/>
  <c r="E154" i="2" s="1"/>
  <c r="B57" i="1"/>
  <c r="D154" i="2" s="1"/>
  <c r="N52" i="1"/>
  <c r="M52" i="1"/>
  <c r="O159" i="2" s="1"/>
  <c r="L52" i="1"/>
  <c r="N159" i="2" s="1"/>
  <c r="K52" i="1"/>
  <c r="M159" i="2" s="1"/>
  <c r="J52" i="1"/>
  <c r="L159" i="2" s="1"/>
  <c r="I52" i="1"/>
  <c r="K159" i="2" s="1"/>
  <c r="H52" i="1"/>
  <c r="J159" i="2" s="1"/>
  <c r="J160" i="2" s="1"/>
  <c r="G52" i="1"/>
  <c r="I159" i="2" s="1"/>
  <c r="F52" i="1"/>
  <c r="H159" i="2" s="1"/>
  <c r="E52" i="1"/>
  <c r="G159" i="2" s="1"/>
  <c r="D52" i="1"/>
  <c r="F159" i="2" s="1"/>
  <c r="C52" i="1"/>
  <c r="E159" i="2" s="1"/>
  <c r="B52" i="1"/>
  <c r="D159" i="2" s="1"/>
  <c r="M42" i="1"/>
  <c r="L42" i="1"/>
  <c r="K42" i="1"/>
  <c r="J42" i="1"/>
  <c r="I42" i="1"/>
  <c r="H42" i="1"/>
  <c r="G42" i="1"/>
  <c r="F42" i="1"/>
  <c r="E42" i="1"/>
  <c r="D42" i="1"/>
  <c r="C42" i="1"/>
  <c r="B42" i="1"/>
  <c r="N40" i="1"/>
  <c r="L38" i="1"/>
  <c r="L35" i="1" s="1"/>
  <c r="N215" i="2" s="1"/>
  <c r="F38" i="1"/>
  <c r="F35" i="1" s="1"/>
  <c r="H215" i="2" s="1"/>
  <c r="N37" i="1"/>
  <c r="N36" i="1"/>
  <c r="O35" i="1"/>
  <c r="M35" i="1"/>
  <c r="O215" i="2" s="1"/>
  <c r="K35" i="1"/>
  <c r="M215" i="2" s="1"/>
  <c r="J35" i="1"/>
  <c r="L215" i="2" s="1"/>
  <c r="I35" i="1"/>
  <c r="K215" i="2" s="1"/>
  <c r="H35" i="1"/>
  <c r="J215" i="2" s="1"/>
  <c r="G35" i="1"/>
  <c r="I215" i="2" s="1"/>
  <c r="E35" i="1"/>
  <c r="G215" i="2" s="1"/>
  <c r="D35" i="1"/>
  <c r="F215" i="2" s="1"/>
  <c r="C35" i="1"/>
  <c r="E215" i="2" s="1"/>
  <c r="E216" i="2" s="1"/>
  <c r="F216" i="2" s="1"/>
  <c r="B35" i="1"/>
  <c r="D215" i="2" s="1"/>
  <c r="N31" i="1"/>
  <c r="N30" i="1"/>
  <c r="O29" i="1"/>
  <c r="M29" i="1"/>
  <c r="L29" i="1"/>
  <c r="L25" i="1" s="1"/>
  <c r="K29" i="1"/>
  <c r="K25" i="1" s="1"/>
  <c r="K22" i="1" s="1"/>
  <c r="K21" i="1" s="1"/>
  <c r="J29" i="1"/>
  <c r="J25" i="1" s="1"/>
  <c r="J22" i="1" s="1"/>
  <c r="J21" i="1" s="1"/>
  <c r="I29" i="1"/>
  <c r="H29" i="1"/>
  <c r="G29" i="1"/>
  <c r="G25" i="1" s="1"/>
  <c r="G22" i="1" s="1"/>
  <c r="G21" i="1" s="1"/>
  <c r="F29" i="1"/>
  <c r="F25" i="1" s="1"/>
  <c r="F22" i="1" s="1"/>
  <c r="F21" i="1" s="1"/>
  <c r="E29" i="1"/>
  <c r="E25" i="1" s="1"/>
  <c r="E22" i="1" s="1"/>
  <c r="E21" i="1" s="1"/>
  <c r="D29" i="1"/>
  <c r="D25" i="1" s="1"/>
  <c r="C29" i="1"/>
  <c r="C25" i="1" s="1"/>
  <c r="C22" i="1" s="1"/>
  <c r="C21" i="1" s="1"/>
  <c r="B29" i="1"/>
  <c r="N29" i="1" s="1"/>
  <c r="N28" i="1"/>
  <c r="N27" i="1"/>
  <c r="N26" i="1"/>
  <c r="O25" i="1"/>
  <c r="M25" i="1"/>
  <c r="M22" i="1" s="1"/>
  <c r="I25" i="1"/>
  <c r="I22" i="1" s="1"/>
  <c r="H25" i="1"/>
  <c r="H22" i="1" s="1"/>
  <c r="H21" i="1" s="1"/>
  <c r="N24" i="1"/>
  <c r="N23" i="1"/>
  <c r="O22" i="1"/>
  <c r="O21" i="1" s="1"/>
  <c r="L22" i="1"/>
  <c r="D22" i="1"/>
  <c r="R20" i="1"/>
  <c r="P23" i="1" s="1"/>
  <c r="N19" i="1"/>
  <c r="N18" i="1"/>
  <c r="P17" i="1"/>
  <c r="N17" i="1"/>
  <c r="N16" i="1"/>
  <c r="H15" i="1"/>
  <c r="H13" i="1" s="1"/>
  <c r="H12" i="1" s="1"/>
  <c r="H11" i="1" s="1"/>
  <c r="H33" i="1" s="1"/>
  <c r="H39" i="1" s="1"/>
  <c r="G15" i="1"/>
  <c r="G13" i="1" s="1"/>
  <c r="G12" i="1" s="1"/>
  <c r="G11" i="1" s="1"/>
  <c r="G33" i="1" s="1"/>
  <c r="G39" i="1" s="1"/>
  <c r="N14" i="1"/>
  <c r="O13" i="1"/>
  <c r="O12" i="1" s="1"/>
  <c r="O11" i="1" s="1"/>
  <c r="M13" i="1"/>
  <c r="L13" i="1"/>
  <c r="L12" i="1" s="1"/>
  <c r="L11" i="1" s="1"/>
  <c r="L33" i="1" s="1"/>
  <c r="L39" i="1" s="1"/>
  <c r="K13" i="1"/>
  <c r="K12" i="1" s="1"/>
  <c r="K11" i="1" s="1"/>
  <c r="J13" i="1"/>
  <c r="J12" i="1" s="1"/>
  <c r="I13" i="1"/>
  <c r="I12" i="1" s="1"/>
  <c r="I11" i="1" s="1"/>
  <c r="I33" i="1" s="1"/>
  <c r="I39" i="1" s="1"/>
  <c r="F13" i="1"/>
  <c r="E13" i="1"/>
  <c r="E12" i="1" s="1"/>
  <c r="E11" i="1" s="1"/>
  <c r="D13" i="1"/>
  <c r="D12" i="1" s="1"/>
  <c r="D11" i="1" s="1"/>
  <c r="D33" i="1" s="1"/>
  <c r="D39" i="1" s="1"/>
  <c r="C13" i="1"/>
  <c r="B13" i="1"/>
  <c r="B12" i="1" s="1"/>
  <c r="M12" i="1"/>
  <c r="M11" i="1" s="1"/>
  <c r="F12" i="1"/>
  <c r="F11" i="1" s="1"/>
  <c r="C12" i="1"/>
  <c r="C11" i="1" s="1"/>
  <c r="J11" i="1"/>
  <c r="B11" i="1"/>
  <c r="G95" i="2" l="1"/>
  <c r="G9" i="2"/>
  <c r="F29" i="2"/>
  <c r="G29" i="2" s="1"/>
  <c r="H29" i="2" s="1"/>
  <c r="I29" i="2" s="1"/>
  <c r="E28" i="2"/>
  <c r="E44" i="2"/>
  <c r="F44" i="2" s="1"/>
  <c r="D43" i="2"/>
  <c r="Q17" i="1"/>
  <c r="R17" i="1" s="1"/>
  <c r="I91" i="2"/>
  <c r="E63" i="2"/>
  <c r="E72" i="2"/>
  <c r="E77" i="2"/>
  <c r="D81" i="2"/>
  <c r="E163" i="2"/>
  <c r="F163" i="2" s="1"/>
  <c r="G163" i="2" s="1"/>
  <c r="H163" i="2" s="1"/>
  <c r="I163" i="2" s="1"/>
  <c r="J163" i="2" s="1"/>
  <c r="K163" i="2" s="1"/>
  <c r="L163" i="2" s="1"/>
  <c r="N80" i="1"/>
  <c r="K112" i="1"/>
  <c r="M9" i="2"/>
  <c r="E85" i="2"/>
  <c r="M88" i="2"/>
  <c r="D118" i="2"/>
  <c r="F212" i="2"/>
  <c r="N212" i="2"/>
  <c r="J112" i="1"/>
  <c r="O33" i="1"/>
  <c r="O39" i="1" s="1"/>
  <c r="Q24" i="1"/>
  <c r="R24" i="1" s="1"/>
  <c r="M21" i="1"/>
  <c r="K168" i="1"/>
  <c r="M188" i="2" s="1"/>
  <c r="O9" i="2"/>
  <c r="D28" i="2"/>
  <c r="H63" i="2"/>
  <c r="O88" i="2"/>
  <c r="D124" i="2"/>
  <c r="M193" i="2"/>
  <c r="M194" i="2" s="1"/>
  <c r="G212" i="2"/>
  <c r="O212" i="2"/>
  <c r="I21" i="1"/>
  <c r="P24" i="1"/>
  <c r="E160" i="2"/>
  <c r="M160" i="2"/>
  <c r="B112" i="1"/>
  <c r="B127" i="1" s="1"/>
  <c r="B128" i="1" s="1"/>
  <c r="C169" i="1"/>
  <c r="H85" i="2"/>
  <c r="D136" i="2"/>
  <c r="N205" i="2"/>
  <c r="N206" i="2" s="1"/>
  <c r="H212" i="2"/>
  <c r="F209" i="2"/>
  <c r="N93" i="1"/>
  <c r="K169" i="1"/>
  <c r="K168" i="2"/>
  <c r="L168" i="2" s="1"/>
  <c r="M168" i="2" s="1"/>
  <c r="N168" i="2" s="1"/>
  <c r="O168" i="2" s="1"/>
  <c r="J33" i="1"/>
  <c r="J39" i="1" s="1"/>
  <c r="P15" i="1"/>
  <c r="D21" i="1"/>
  <c r="G160" i="2"/>
  <c r="O160" i="2"/>
  <c r="J161" i="2"/>
  <c r="D42" i="2"/>
  <c r="C33" i="1"/>
  <c r="C39" i="1" s="1"/>
  <c r="B25" i="1"/>
  <c r="B22" i="1" s="1"/>
  <c r="B21" i="1" s="1"/>
  <c r="F204" i="1"/>
  <c r="H169" i="2" s="1"/>
  <c r="H170" i="2" s="1"/>
  <c r="D207" i="2"/>
  <c r="K33" i="1"/>
  <c r="K39" i="1" s="1"/>
  <c r="K57" i="2"/>
  <c r="D130" i="2"/>
  <c r="I209" i="2"/>
  <c r="N207" i="2"/>
  <c r="K212" i="2"/>
  <c r="F9" i="2"/>
  <c r="F95" i="2"/>
  <c r="E33" i="1"/>
  <c r="E39" i="1" s="1"/>
  <c r="F33" i="1"/>
  <c r="F39" i="1" s="1"/>
  <c r="B204" i="1"/>
  <c r="D169" i="2" s="1"/>
  <c r="L21" i="1"/>
  <c r="N9" i="2"/>
  <c r="N95" i="2"/>
  <c r="O172" i="2"/>
  <c r="M169" i="1"/>
  <c r="N25" i="1"/>
  <c r="P27" i="1"/>
  <c r="Q27" i="1" s="1"/>
  <c r="R27" i="1" s="1"/>
  <c r="N38" i="1"/>
  <c r="N35" i="1" s="1"/>
  <c r="I151" i="2"/>
  <c r="I111" i="2"/>
  <c r="L171" i="2"/>
  <c r="J204" i="1"/>
  <c r="L169" i="2" s="1"/>
  <c r="H179" i="2"/>
  <c r="H175" i="2"/>
  <c r="H177" i="2"/>
  <c r="H173" i="2"/>
  <c r="F168" i="1"/>
  <c r="H188" i="2" s="1"/>
  <c r="H30" i="2"/>
  <c r="I30" i="2" s="1"/>
  <c r="J30" i="2" s="1"/>
  <c r="K30" i="2" s="1"/>
  <c r="L30" i="2" s="1"/>
  <c r="M30" i="2" s="1"/>
  <c r="N30" i="2" s="1"/>
  <c r="O30" i="2" s="1"/>
  <c r="M163" i="2"/>
  <c r="N163" i="2" s="1"/>
  <c r="O163" i="2" s="1"/>
  <c r="P14" i="1"/>
  <c r="Q23" i="1"/>
  <c r="P35" i="1"/>
  <c r="I160" i="2"/>
  <c r="D156" i="2"/>
  <c r="E156" i="2" s="1"/>
  <c r="F156" i="2" s="1"/>
  <c r="G156" i="2" s="1"/>
  <c r="H156" i="2" s="1"/>
  <c r="I156" i="2" s="1"/>
  <c r="J156" i="2" s="1"/>
  <c r="D157" i="2"/>
  <c r="D161" i="2"/>
  <c r="L161" i="2"/>
  <c r="L157" i="2"/>
  <c r="H95" i="2"/>
  <c r="H9" i="2"/>
  <c r="D97" i="2"/>
  <c r="D15" i="2"/>
  <c r="D31" i="2"/>
  <c r="L97" i="2"/>
  <c r="L15" i="2"/>
  <c r="L31" i="2"/>
  <c r="J111" i="2"/>
  <c r="J151" i="2"/>
  <c r="M171" i="2"/>
  <c r="M214" i="2" s="1"/>
  <c r="K127" i="1"/>
  <c r="K128" i="1" s="1"/>
  <c r="K204" i="1"/>
  <c r="M169" i="2" s="1"/>
  <c r="M170" i="2" s="1"/>
  <c r="I172" i="2"/>
  <c r="G112" i="1"/>
  <c r="G169" i="1"/>
  <c r="M177" i="2"/>
  <c r="J127" i="1"/>
  <c r="J128" i="1" s="1"/>
  <c r="G168" i="1"/>
  <c r="I188" i="2" s="1"/>
  <c r="D17" i="2"/>
  <c r="H52" i="2"/>
  <c r="P29" i="1"/>
  <c r="Q29" i="1" s="1"/>
  <c r="E161" i="2"/>
  <c r="E157" i="2"/>
  <c r="I95" i="2"/>
  <c r="I9" i="2"/>
  <c r="E15" i="2"/>
  <c r="E97" i="2"/>
  <c r="E31" i="2"/>
  <c r="M15" i="2"/>
  <c r="M31" i="2"/>
  <c r="M97" i="2"/>
  <c r="K111" i="2"/>
  <c r="K151" i="2"/>
  <c r="N171" i="2"/>
  <c r="L204" i="1"/>
  <c r="N169" i="2" s="1"/>
  <c r="N170" i="2" s="1"/>
  <c r="J172" i="2"/>
  <c r="H168" i="1"/>
  <c r="J188" i="2" s="1"/>
  <c r="H169" i="1"/>
  <c r="N177" i="2"/>
  <c r="L127" i="1"/>
  <c r="L128" i="1" s="1"/>
  <c r="J97" i="2"/>
  <c r="J15" i="2"/>
  <c r="J31" i="2"/>
  <c r="I112" i="1"/>
  <c r="D22" i="2"/>
  <c r="E23" i="2"/>
  <c r="P16" i="1"/>
  <c r="Q16" i="1" s="1"/>
  <c r="R16" i="1" s="1"/>
  <c r="M157" i="2"/>
  <c r="M161" i="2"/>
  <c r="K160" i="2"/>
  <c r="K161" i="2"/>
  <c r="F157" i="2"/>
  <c r="F161" i="2"/>
  <c r="N161" i="2"/>
  <c r="N157" i="2"/>
  <c r="J9" i="2"/>
  <c r="J95" i="2"/>
  <c r="F97" i="2"/>
  <c r="F31" i="2"/>
  <c r="F15" i="2"/>
  <c r="F52" i="2"/>
  <c r="N31" i="2"/>
  <c r="N15" i="2"/>
  <c r="N97" i="2"/>
  <c r="D113" i="2"/>
  <c r="D111" i="2"/>
  <c r="D151" i="2"/>
  <c r="D152" i="2"/>
  <c r="L151" i="2"/>
  <c r="L111" i="2"/>
  <c r="C127" i="1"/>
  <c r="C128" i="1" s="1"/>
  <c r="E171" i="2"/>
  <c r="E170" i="2" s="1"/>
  <c r="M112" i="1"/>
  <c r="I169" i="1"/>
  <c r="K172" i="2"/>
  <c r="I168" i="1"/>
  <c r="K188" i="2" s="1"/>
  <c r="M168" i="1"/>
  <c r="O188" i="2" s="1"/>
  <c r="D160" i="2"/>
  <c r="L160" i="2"/>
  <c r="G161" i="2"/>
  <c r="G157" i="2"/>
  <c r="O157" i="2"/>
  <c r="O161" i="2"/>
  <c r="K95" i="2"/>
  <c r="K9" i="2"/>
  <c r="G31" i="2"/>
  <c r="G97" i="2"/>
  <c r="O97" i="2"/>
  <c r="O15" i="2"/>
  <c r="O31" i="2"/>
  <c r="E111" i="2"/>
  <c r="E151" i="2"/>
  <c r="E152" i="2"/>
  <c r="M151" i="2"/>
  <c r="M152" i="2"/>
  <c r="M111" i="2"/>
  <c r="D204" i="1"/>
  <c r="F169" i="2" s="1"/>
  <c r="F171" i="2"/>
  <c r="D127" i="1"/>
  <c r="D128" i="1" s="1"/>
  <c r="D172" i="2"/>
  <c r="B169" i="1"/>
  <c r="L172" i="2"/>
  <c r="J169" i="1"/>
  <c r="J168" i="1"/>
  <c r="L188" i="2" s="1"/>
  <c r="M33" i="1"/>
  <c r="M39" i="1" s="1"/>
  <c r="H161" i="2"/>
  <c r="H157" i="2"/>
  <c r="D95" i="2"/>
  <c r="D11" i="2"/>
  <c r="L9" i="2"/>
  <c r="L95" i="2"/>
  <c r="H97" i="2"/>
  <c r="H31" i="2"/>
  <c r="H15" i="2"/>
  <c r="N72" i="1"/>
  <c r="F151" i="2"/>
  <c r="F152" i="2"/>
  <c r="F111" i="2"/>
  <c r="N151" i="2"/>
  <c r="N111" i="2"/>
  <c r="N152" i="2"/>
  <c r="E112" i="1"/>
  <c r="E169" i="1"/>
  <c r="I15" i="2"/>
  <c r="I97" i="2"/>
  <c r="F43" i="2"/>
  <c r="G44" i="2"/>
  <c r="P30" i="1"/>
  <c r="Q30" i="1" s="1"/>
  <c r="P26" i="1"/>
  <c r="P19" i="1"/>
  <c r="Q19" i="1" s="1"/>
  <c r="R19" i="1" s="1"/>
  <c r="P31" i="1"/>
  <c r="Q31" i="1" s="1"/>
  <c r="G216" i="2"/>
  <c r="H216" i="2" s="1"/>
  <c r="I216" i="2" s="1"/>
  <c r="J216" i="2" s="1"/>
  <c r="K216" i="2" s="1"/>
  <c r="L216" i="2" s="1"/>
  <c r="M216" i="2" s="1"/>
  <c r="N216" i="2" s="1"/>
  <c r="O216" i="2" s="1"/>
  <c r="O40" i="1"/>
  <c r="P40" i="1" s="1"/>
  <c r="G111" i="2"/>
  <c r="G151" i="2"/>
  <c r="J171" i="2"/>
  <c r="J182" i="2" s="1"/>
  <c r="H127" i="1"/>
  <c r="H128" i="1" s="1"/>
  <c r="H204" i="1"/>
  <c r="J169" i="2" s="1"/>
  <c r="D169" i="1"/>
  <c r="D168" i="1"/>
  <c r="F188" i="2" s="1"/>
  <c r="L169" i="1"/>
  <c r="N172" i="2"/>
  <c r="L168" i="1"/>
  <c r="N188" i="2" s="1"/>
  <c r="J177" i="2"/>
  <c r="F127" i="1"/>
  <c r="F128" i="1" s="1"/>
  <c r="F169" i="1"/>
  <c r="E52" i="2"/>
  <c r="E36" i="2"/>
  <c r="M36" i="2"/>
  <c r="M52" i="2"/>
  <c r="F39" i="2"/>
  <c r="E54" i="2"/>
  <c r="F83" i="2"/>
  <c r="M182" i="2"/>
  <c r="G207" i="2"/>
  <c r="G193" i="2"/>
  <c r="G194" i="2" s="1"/>
  <c r="N15" i="1"/>
  <c r="F160" i="2"/>
  <c r="N160" i="2"/>
  <c r="I161" i="2"/>
  <c r="I157" i="2"/>
  <c r="O151" i="2"/>
  <c r="O111" i="2"/>
  <c r="C168" i="1"/>
  <c r="E188" i="2" s="1"/>
  <c r="E189" i="2" s="1"/>
  <c r="E9" i="2"/>
  <c r="F28" i="2"/>
  <c r="K31" i="2"/>
  <c r="N36" i="2"/>
  <c r="N52" i="2"/>
  <c r="O52" i="2"/>
  <c r="D85" i="2"/>
  <c r="D57" i="2"/>
  <c r="D59" i="2"/>
  <c r="D86" i="2" s="1"/>
  <c r="L57" i="2"/>
  <c r="D91" i="2"/>
  <c r="D65" i="2"/>
  <c r="L91" i="2"/>
  <c r="L63" i="2"/>
  <c r="I63" i="2"/>
  <c r="O85" i="2"/>
  <c r="E132" i="2"/>
  <c r="F132" i="2" s="1"/>
  <c r="G132" i="2" s="1"/>
  <c r="H132" i="2" s="1"/>
  <c r="I132" i="2" s="1"/>
  <c r="J132" i="2" s="1"/>
  <c r="K132" i="2" s="1"/>
  <c r="L132" i="2" s="1"/>
  <c r="M132" i="2" s="1"/>
  <c r="N132" i="2" s="1"/>
  <c r="O132" i="2" s="1"/>
  <c r="I143" i="2"/>
  <c r="D33" i="2"/>
  <c r="E18" i="2"/>
  <c r="D38" i="2"/>
  <c r="D52" i="2"/>
  <c r="D54" i="2"/>
  <c r="H88" i="2"/>
  <c r="H81" i="2"/>
  <c r="J152" i="2"/>
  <c r="F125" i="2"/>
  <c r="E124" i="2"/>
  <c r="F149" i="2"/>
  <c r="E148" i="2"/>
  <c r="H152" i="2"/>
  <c r="K15" i="2"/>
  <c r="E50" i="2"/>
  <c r="F63" i="2"/>
  <c r="F88" i="2"/>
  <c r="N63" i="2"/>
  <c r="N88" i="2"/>
  <c r="K63" i="2"/>
  <c r="K152" i="2"/>
  <c r="G52" i="2"/>
  <c r="G85" i="2"/>
  <c r="G57" i="2"/>
  <c r="G91" i="2"/>
  <c r="O91" i="2"/>
  <c r="D93" i="2"/>
  <c r="D87" i="2"/>
  <c r="E88" i="2"/>
  <c r="F91" i="2"/>
  <c r="L152" i="2"/>
  <c r="F120" i="2"/>
  <c r="G120" i="2" s="1"/>
  <c r="H120" i="2" s="1"/>
  <c r="I120" i="2" s="1"/>
  <c r="J120" i="2" s="1"/>
  <c r="K120" i="2" s="1"/>
  <c r="L120" i="2" s="1"/>
  <c r="M120" i="2" s="1"/>
  <c r="N120" i="2" s="1"/>
  <c r="O120" i="2" s="1"/>
  <c r="E118" i="2"/>
  <c r="E144" i="2"/>
  <c r="D142" i="2"/>
  <c r="H36" i="2"/>
  <c r="I88" i="2"/>
  <c r="E93" i="2"/>
  <c r="D148" i="2"/>
  <c r="E166" i="2"/>
  <c r="M173" i="2"/>
  <c r="I52" i="2"/>
  <c r="I85" i="2"/>
  <c r="I57" i="2"/>
  <c r="E71" i="2"/>
  <c r="D89" i="2"/>
  <c r="E84" i="2"/>
  <c r="E82" i="2" s="1"/>
  <c r="K91" i="2"/>
  <c r="L117" i="2"/>
  <c r="E137" i="2"/>
  <c r="F166" i="2"/>
  <c r="G165" i="2"/>
  <c r="L52" i="2"/>
  <c r="E43" i="2"/>
  <c r="K52" i="2"/>
  <c r="J57" i="2"/>
  <c r="J91" i="2"/>
  <c r="G117" i="2"/>
  <c r="G152" i="2"/>
  <c r="O152" i="2"/>
  <c r="O117" i="2"/>
  <c r="G119" i="2"/>
  <c r="E193" i="2"/>
  <c r="E194" i="2" s="1"/>
  <c r="E207" i="2"/>
  <c r="E209" i="2"/>
  <c r="E201" i="2"/>
  <c r="E202" i="2" s="1"/>
  <c r="M209" i="2"/>
  <c r="M211" i="2" s="1"/>
  <c r="M213" i="2" s="1"/>
  <c r="M201" i="2"/>
  <c r="M202" i="2" s="1"/>
  <c r="H160" i="2"/>
  <c r="H111" i="2"/>
  <c r="H151" i="2"/>
  <c r="J52" i="2"/>
  <c r="M91" i="2"/>
  <c r="G88" i="2"/>
  <c r="O207" i="2"/>
  <c r="O193" i="2"/>
  <c r="O194" i="2" s="1"/>
  <c r="G209" i="2"/>
  <c r="G201" i="2"/>
  <c r="G202" i="2" s="1"/>
  <c r="L88" i="2"/>
  <c r="F131" i="2"/>
  <c r="E130" i="2"/>
  <c r="K157" i="2"/>
  <c r="O201" i="2"/>
  <c r="O202" i="2" s="1"/>
  <c r="F211" i="2"/>
  <c r="F214" i="2"/>
  <c r="H209" i="2"/>
  <c r="I207" i="2"/>
  <c r="K207" i="2"/>
  <c r="I152" i="2"/>
  <c r="H182" i="2"/>
  <c r="J209" i="2"/>
  <c r="J211" i="2" s="1"/>
  <c r="I201" i="2"/>
  <c r="I202" i="2" s="1"/>
  <c r="N211" i="2"/>
  <c r="N213" i="2" s="1"/>
  <c r="L193" i="2"/>
  <c r="L194" i="2" s="1"/>
  <c r="L207" i="2"/>
  <c r="D166" i="2"/>
  <c r="H207" i="2"/>
  <c r="D201" i="2"/>
  <c r="D202" i="2" s="1"/>
  <c r="D209" i="2"/>
  <c r="D211" i="2" s="1"/>
  <c r="L201" i="2"/>
  <c r="L202" i="2" s="1"/>
  <c r="L209" i="2"/>
  <c r="P13" i="1" l="1"/>
  <c r="D171" i="2"/>
  <c r="D173" i="2" s="1"/>
  <c r="F213" i="2"/>
  <c r="E182" i="2"/>
  <c r="L173" i="2"/>
  <c r="D170" i="2"/>
  <c r="J213" i="2"/>
  <c r="J214" i="2"/>
  <c r="G28" i="2"/>
  <c r="L170" i="2"/>
  <c r="B33" i="1"/>
  <c r="B39" i="1" s="1"/>
  <c r="F77" i="2"/>
  <c r="E76" i="2"/>
  <c r="Q15" i="1"/>
  <c r="R15" i="1" s="1"/>
  <c r="H28" i="2"/>
  <c r="F72" i="2"/>
  <c r="E87" i="2"/>
  <c r="F189" i="2"/>
  <c r="G189" i="2" s="1"/>
  <c r="H189" i="2" s="1"/>
  <c r="I189" i="2" s="1"/>
  <c r="J189" i="2" s="1"/>
  <c r="K189" i="2" s="1"/>
  <c r="L189" i="2" s="1"/>
  <c r="M189" i="2" s="1"/>
  <c r="N189" i="2" s="1"/>
  <c r="O189" i="2" s="1"/>
  <c r="N173" i="2"/>
  <c r="F170" i="2"/>
  <c r="Q35" i="1"/>
  <c r="R35" i="1" s="1"/>
  <c r="I214" i="2"/>
  <c r="I211" i="2"/>
  <c r="F118" i="2"/>
  <c r="F71" i="2"/>
  <c r="E70" i="2"/>
  <c r="F50" i="2"/>
  <c r="E49" i="2"/>
  <c r="I28" i="2"/>
  <c r="J29" i="2"/>
  <c r="F137" i="2"/>
  <c r="E136" i="2"/>
  <c r="Q40" i="1"/>
  <c r="E11" i="2"/>
  <c r="D10" i="2"/>
  <c r="K171" i="2"/>
  <c r="I204" i="1"/>
  <c r="K169" i="2" s="1"/>
  <c r="I127" i="1"/>
  <c r="I128" i="1" s="1"/>
  <c r="J173" i="2"/>
  <c r="N13" i="1"/>
  <c r="D182" i="2"/>
  <c r="L214" i="2"/>
  <c r="L211" i="2"/>
  <c r="L213" i="2" s="1"/>
  <c r="E211" i="2"/>
  <c r="E213" i="2" s="1"/>
  <c r="E214" i="2"/>
  <c r="J143" i="2"/>
  <c r="D64" i="2"/>
  <c r="E65" i="2"/>
  <c r="D92" i="2"/>
  <c r="G83" i="2"/>
  <c r="M204" i="1"/>
  <c r="O169" i="2" s="1"/>
  <c r="O171" i="2"/>
  <c r="M127" i="1"/>
  <c r="M128" i="1" s="1"/>
  <c r="D112" i="2"/>
  <c r="E113" i="2"/>
  <c r="N179" i="2"/>
  <c r="N175" i="2"/>
  <c r="N182" i="2"/>
  <c r="D16" i="2"/>
  <c r="D32" i="2"/>
  <c r="E17" i="2"/>
  <c r="K156" i="2"/>
  <c r="L156" i="2" s="1"/>
  <c r="M156" i="2" s="1"/>
  <c r="N156" i="2" s="1"/>
  <c r="O156" i="2" s="1"/>
  <c r="L175" i="2"/>
  <c r="L182" i="2"/>
  <c r="L179" i="2"/>
  <c r="N214" i="2"/>
  <c r="K211" i="2"/>
  <c r="K213" i="2" s="1"/>
  <c r="F130" i="2"/>
  <c r="G131" i="2"/>
  <c r="O211" i="2"/>
  <c r="J170" i="2"/>
  <c r="G171" i="2"/>
  <c r="E204" i="1"/>
  <c r="G169" i="2" s="1"/>
  <c r="G170" i="2" s="1"/>
  <c r="E127" i="1"/>
  <c r="E128" i="1" s="1"/>
  <c r="E177" i="2"/>
  <c r="E173" i="2"/>
  <c r="E179" i="2"/>
  <c r="E175" i="2"/>
  <c r="M179" i="2"/>
  <c r="M175" i="2"/>
  <c r="L177" i="2"/>
  <c r="D58" i="2"/>
  <c r="E59" i="2"/>
  <c r="E86" i="2" s="1"/>
  <c r="Q26" i="1"/>
  <c r="P25" i="1"/>
  <c r="P22" i="1" s="1"/>
  <c r="P21" i="1" s="1"/>
  <c r="E142" i="2"/>
  <c r="F144" i="2"/>
  <c r="G149" i="2"/>
  <c r="F148" i="2"/>
  <c r="D37" i="2"/>
  <c r="E38" i="2"/>
  <c r="D53" i="2"/>
  <c r="G39" i="2"/>
  <c r="J179" i="2"/>
  <c r="J175" i="2"/>
  <c r="Q14" i="1"/>
  <c r="R14" i="1" s="1"/>
  <c r="R23" i="1"/>
  <c r="P18" i="1"/>
  <c r="Q18" i="1" s="1"/>
  <c r="F18" i="2"/>
  <c r="E33" i="2"/>
  <c r="G211" i="2"/>
  <c r="H44" i="2"/>
  <c r="G43" i="2"/>
  <c r="F177" i="2"/>
  <c r="F173" i="2"/>
  <c r="F182" i="2"/>
  <c r="F175" i="2"/>
  <c r="F179" i="2"/>
  <c r="F23" i="2"/>
  <c r="E22" i="2"/>
  <c r="P12" i="1"/>
  <c r="P11" i="1" s="1"/>
  <c r="P33" i="1" s="1"/>
  <c r="P39" i="1" s="1"/>
  <c r="I171" i="2"/>
  <c r="I173" i="2" s="1"/>
  <c r="G204" i="1"/>
  <c r="I169" i="2" s="1"/>
  <c r="I170" i="2" s="1"/>
  <c r="G127" i="1"/>
  <c r="G128" i="1" s="1"/>
  <c r="N22" i="1"/>
  <c r="G118" i="2"/>
  <c r="H119" i="2"/>
  <c r="G125" i="2"/>
  <c r="F124" i="2"/>
  <c r="F84" i="2"/>
  <c r="F82" i="2" s="1"/>
  <c r="E90" i="2"/>
  <c r="H211" i="2"/>
  <c r="H213" i="2" s="1"/>
  <c r="H214" i="2"/>
  <c r="H165" i="2"/>
  <c r="G166" i="2"/>
  <c r="E92" i="2" l="1"/>
  <c r="D175" i="2"/>
  <c r="G77" i="2"/>
  <c r="F76" i="2"/>
  <c r="D179" i="2"/>
  <c r="D177" i="2"/>
  <c r="D214" i="2"/>
  <c r="F87" i="2"/>
  <c r="F93" i="2"/>
  <c r="G72" i="2"/>
  <c r="I213" i="2"/>
  <c r="D213" i="2"/>
  <c r="N21" i="1"/>
  <c r="Q21" i="1" s="1"/>
  <c r="R21" i="1" s="1"/>
  <c r="Q22" i="1"/>
  <c r="R22" i="1" s="1"/>
  <c r="G148" i="2"/>
  <c r="H149" i="2"/>
  <c r="K179" i="2"/>
  <c r="K175" i="2"/>
  <c r="K177" i="2"/>
  <c r="K182" i="2"/>
  <c r="E32" i="2"/>
  <c r="F17" i="2"/>
  <c r="E16" i="2"/>
  <c r="O179" i="2"/>
  <c r="O175" i="2"/>
  <c r="O177" i="2"/>
  <c r="O182" i="2"/>
  <c r="G144" i="2"/>
  <c r="F142" i="2"/>
  <c r="F11" i="2"/>
  <c r="E10" i="2"/>
  <c r="H125" i="2"/>
  <c r="G124" i="2"/>
  <c r="O213" i="2"/>
  <c r="G71" i="2"/>
  <c r="F70" i="2"/>
  <c r="K173" i="2"/>
  <c r="H39" i="2"/>
  <c r="G54" i="2"/>
  <c r="G173" i="2"/>
  <c r="G179" i="2"/>
  <c r="G177" i="2"/>
  <c r="G175" i="2"/>
  <c r="G182" i="2"/>
  <c r="K143" i="2"/>
  <c r="O170" i="2"/>
  <c r="O214" i="2"/>
  <c r="H83" i="2"/>
  <c r="I119" i="2"/>
  <c r="H118" i="2"/>
  <c r="H43" i="2"/>
  <c r="I44" i="2"/>
  <c r="G214" i="2"/>
  <c r="G130" i="2"/>
  <c r="H131" i="2"/>
  <c r="G137" i="2"/>
  <c r="F136" i="2"/>
  <c r="F65" i="2"/>
  <c r="E64" i="2"/>
  <c r="E89" i="2"/>
  <c r="F33" i="2"/>
  <c r="G18" i="2"/>
  <c r="K214" i="2"/>
  <c r="F90" i="2"/>
  <c r="G84" i="2"/>
  <c r="G82" i="2" s="1"/>
  <c r="F49" i="2"/>
  <c r="G50" i="2"/>
  <c r="I175" i="2"/>
  <c r="I182" i="2"/>
  <c r="I179" i="2"/>
  <c r="I177" i="2"/>
  <c r="F54" i="2"/>
  <c r="O173" i="2"/>
  <c r="Q13" i="1"/>
  <c r="R13" i="1" s="1"/>
  <c r="N12" i="1"/>
  <c r="F38" i="2"/>
  <c r="E53" i="2"/>
  <c r="E37" i="2"/>
  <c r="I165" i="2"/>
  <c r="H166" i="2"/>
  <c r="G23" i="2"/>
  <c r="F22" i="2"/>
  <c r="Q25" i="1"/>
  <c r="R25" i="1" s="1"/>
  <c r="G213" i="2"/>
  <c r="E58" i="2"/>
  <c r="F59" i="2"/>
  <c r="F113" i="2"/>
  <c r="E112" i="2"/>
  <c r="K170" i="2"/>
  <c r="J28" i="2"/>
  <c r="K29" i="2"/>
  <c r="G93" i="2" l="1"/>
  <c r="H72" i="2"/>
  <c r="G87" i="2"/>
  <c r="G76" i="2"/>
  <c r="H77" i="2"/>
  <c r="L29" i="2"/>
  <c r="K28" i="2"/>
  <c r="G65" i="2"/>
  <c r="F64" i="2"/>
  <c r="F89" i="2"/>
  <c r="G11" i="2"/>
  <c r="F10" i="2"/>
  <c r="H137" i="2"/>
  <c r="G136" i="2"/>
  <c r="F92" i="2"/>
  <c r="Q12" i="1"/>
  <c r="R12" i="1" s="1"/>
  <c r="N11" i="1"/>
  <c r="I39" i="2"/>
  <c r="J119" i="2"/>
  <c r="I118" i="2"/>
  <c r="G113" i="2"/>
  <c r="F112" i="2"/>
  <c r="J165" i="2"/>
  <c r="I166" i="2"/>
  <c r="I131" i="2"/>
  <c r="H130" i="2"/>
  <c r="I83" i="2"/>
  <c r="G70" i="2"/>
  <c r="H71" i="2"/>
  <c r="H144" i="2"/>
  <c r="G142" i="2"/>
  <c r="F53" i="2"/>
  <c r="F37" i="2"/>
  <c r="G38" i="2"/>
  <c r="J44" i="2"/>
  <c r="I43" i="2"/>
  <c r="F16" i="2"/>
  <c r="F32" i="2"/>
  <c r="G17" i="2"/>
  <c r="H50" i="2"/>
  <c r="G49" i="2"/>
  <c r="L143" i="2"/>
  <c r="I125" i="2"/>
  <c r="H124" i="2"/>
  <c r="H23" i="2"/>
  <c r="G22" i="2"/>
  <c r="G90" i="2"/>
  <c r="H84" i="2"/>
  <c r="F58" i="2"/>
  <c r="G59" i="2"/>
  <c r="G86" i="2" s="1"/>
  <c r="H18" i="2"/>
  <c r="H54" i="2" s="1"/>
  <c r="G33" i="2"/>
  <c r="F86" i="2"/>
  <c r="I149" i="2"/>
  <c r="H148" i="2"/>
  <c r="H76" i="2" l="1"/>
  <c r="I77" i="2"/>
  <c r="H93" i="2"/>
  <c r="I72" i="2"/>
  <c r="H87" i="2"/>
  <c r="H38" i="2"/>
  <c r="G53" i="2"/>
  <c r="G37" i="2"/>
  <c r="H86" i="2"/>
  <c r="H70" i="2"/>
  <c r="I71" i="2"/>
  <c r="J131" i="2"/>
  <c r="I130" i="2"/>
  <c r="I148" i="2"/>
  <c r="J149" i="2"/>
  <c r="H90" i="2"/>
  <c r="I84" i="2"/>
  <c r="Q11" i="1"/>
  <c r="R11" i="1" s="1"/>
  <c r="N33" i="1"/>
  <c r="I50" i="2"/>
  <c r="H49" i="2"/>
  <c r="J166" i="2"/>
  <c r="K165" i="2"/>
  <c r="G64" i="2"/>
  <c r="H65" i="2"/>
  <c r="G89" i="2"/>
  <c r="G32" i="2"/>
  <c r="H17" i="2"/>
  <c r="G16" i="2"/>
  <c r="G92" i="2"/>
  <c r="I23" i="2"/>
  <c r="H22" i="2"/>
  <c r="J83" i="2"/>
  <c r="G112" i="2"/>
  <c r="H113" i="2"/>
  <c r="L28" i="2"/>
  <c r="M29" i="2"/>
  <c r="I137" i="2"/>
  <c r="H136" i="2"/>
  <c r="I18" i="2"/>
  <c r="H33" i="2"/>
  <c r="I124" i="2"/>
  <c r="J125" i="2"/>
  <c r="H82" i="2"/>
  <c r="J118" i="2"/>
  <c r="K119" i="2"/>
  <c r="G58" i="2"/>
  <c r="H59" i="2"/>
  <c r="M143" i="2"/>
  <c r="K44" i="2"/>
  <c r="J43" i="2"/>
  <c r="I144" i="2"/>
  <c r="H142" i="2"/>
  <c r="J39" i="2"/>
  <c r="I54" i="2"/>
  <c r="G10" i="2"/>
  <c r="H11" i="2"/>
  <c r="J77" i="2" l="1"/>
  <c r="I76" i="2"/>
  <c r="J72" i="2"/>
  <c r="I87" i="2"/>
  <c r="I93" i="2"/>
  <c r="I11" i="2"/>
  <c r="H10" i="2"/>
  <c r="J144" i="2"/>
  <c r="I142" i="2"/>
  <c r="J82" i="2"/>
  <c r="K83" i="2"/>
  <c r="J130" i="2"/>
  <c r="K131" i="2"/>
  <c r="I65" i="2"/>
  <c r="H64" i="2"/>
  <c r="H89" i="2"/>
  <c r="N39" i="1"/>
  <c r="Q39" i="1" s="1"/>
  <c r="Q33" i="1"/>
  <c r="R33" i="1" s="1"/>
  <c r="I70" i="2"/>
  <c r="J71" i="2"/>
  <c r="L44" i="2"/>
  <c r="K43" i="2"/>
  <c r="J124" i="2"/>
  <c r="K125" i="2"/>
  <c r="N29" i="2"/>
  <c r="M28" i="2"/>
  <c r="J23" i="2"/>
  <c r="I22" i="2"/>
  <c r="K166" i="2"/>
  <c r="L165" i="2"/>
  <c r="J84" i="2"/>
  <c r="I90" i="2"/>
  <c r="N143" i="2"/>
  <c r="H92" i="2"/>
  <c r="I59" i="2"/>
  <c r="I86" i="2" s="1"/>
  <c r="H58" i="2"/>
  <c r="J18" i="2"/>
  <c r="J54" i="2" s="1"/>
  <c r="I33" i="2"/>
  <c r="I113" i="2"/>
  <c r="H112" i="2"/>
  <c r="J148" i="2"/>
  <c r="K149" i="2"/>
  <c r="K39" i="2"/>
  <c r="I17" i="2"/>
  <c r="H16" i="2"/>
  <c r="H32" i="2"/>
  <c r="J50" i="2"/>
  <c r="I49" i="2"/>
  <c r="K118" i="2"/>
  <c r="L119" i="2"/>
  <c r="I136" i="2"/>
  <c r="J137" i="2"/>
  <c r="I82" i="2"/>
  <c r="I38" i="2"/>
  <c r="H53" i="2"/>
  <c r="H37" i="2"/>
  <c r="J76" i="2" l="1"/>
  <c r="K77" i="2"/>
  <c r="J87" i="2"/>
  <c r="J93" i="2"/>
  <c r="K72" i="2"/>
  <c r="M119" i="2"/>
  <c r="L118" i="2"/>
  <c r="J65" i="2"/>
  <c r="I64" i="2"/>
  <c r="I89" i="2"/>
  <c r="L149" i="2"/>
  <c r="K148" i="2"/>
  <c r="J22" i="2"/>
  <c r="K23" i="2"/>
  <c r="K130" i="2"/>
  <c r="L131" i="2"/>
  <c r="M44" i="2"/>
  <c r="L43" i="2"/>
  <c r="J70" i="2"/>
  <c r="K71" i="2"/>
  <c r="L125" i="2"/>
  <c r="K124" i="2"/>
  <c r="K144" i="2"/>
  <c r="J142" i="2"/>
  <c r="J59" i="2"/>
  <c r="I58" i="2"/>
  <c r="I92" i="2"/>
  <c r="K50" i="2"/>
  <c r="J49" i="2"/>
  <c r="K82" i="2"/>
  <c r="L83" i="2"/>
  <c r="L39" i="2"/>
  <c r="O143" i="2"/>
  <c r="N28" i="2"/>
  <c r="O29" i="2"/>
  <c r="O28" i="2" s="1"/>
  <c r="I53" i="2"/>
  <c r="J38" i="2"/>
  <c r="I37" i="2"/>
  <c r="J113" i="2"/>
  <c r="I112" i="2"/>
  <c r="J90" i="2"/>
  <c r="K84" i="2"/>
  <c r="J136" i="2"/>
  <c r="K137" i="2"/>
  <c r="J17" i="2"/>
  <c r="I16" i="2"/>
  <c r="I32" i="2"/>
  <c r="K18" i="2"/>
  <c r="J33" i="2"/>
  <c r="L166" i="2"/>
  <c r="M165" i="2"/>
  <c r="J11" i="2"/>
  <c r="I10" i="2"/>
  <c r="L77" i="2" l="1"/>
  <c r="K76" i="2"/>
  <c r="L72" i="2"/>
  <c r="K87" i="2"/>
  <c r="K93" i="2"/>
  <c r="K49" i="2"/>
  <c r="L50" i="2"/>
  <c r="L148" i="2"/>
  <c r="M149" i="2"/>
  <c r="K33" i="2"/>
  <c r="L18" i="2"/>
  <c r="L54" i="2"/>
  <c r="M39" i="2"/>
  <c r="J58" i="2"/>
  <c r="K59" i="2"/>
  <c r="J86" i="2"/>
  <c r="M131" i="2"/>
  <c r="L130" i="2"/>
  <c r="J64" i="2"/>
  <c r="K65" i="2"/>
  <c r="J89" i="2"/>
  <c r="M166" i="2"/>
  <c r="N165" i="2"/>
  <c r="K90" i="2"/>
  <c r="L84" i="2"/>
  <c r="L82" i="2" s="1"/>
  <c r="N44" i="2"/>
  <c r="M43" i="2"/>
  <c r="K54" i="2"/>
  <c r="J32" i="2"/>
  <c r="K17" i="2"/>
  <c r="J16" i="2"/>
  <c r="J37" i="2"/>
  <c r="K38" i="2"/>
  <c r="J53" i="2"/>
  <c r="M83" i="2"/>
  <c r="L124" i="2"/>
  <c r="M125" i="2"/>
  <c r="J112" i="2"/>
  <c r="K113" i="2"/>
  <c r="K70" i="2"/>
  <c r="L71" i="2"/>
  <c r="J10" i="2"/>
  <c r="K11" i="2"/>
  <c r="J157" i="2"/>
  <c r="L137" i="2"/>
  <c r="K136" i="2"/>
  <c r="L144" i="2"/>
  <c r="K142" i="2"/>
  <c r="J92" i="2"/>
  <c r="L23" i="2"/>
  <c r="K22" i="2"/>
  <c r="N119" i="2"/>
  <c r="M118" i="2"/>
  <c r="L93" i="2" l="1"/>
  <c r="L87" i="2"/>
  <c r="M72" i="2"/>
  <c r="M77" i="2"/>
  <c r="L76" i="2"/>
  <c r="N131" i="2"/>
  <c r="M130" i="2"/>
  <c r="N166" i="2"/>
  <c r="O165" i="2"/>
  <c r="O166" i="2" s="1"/>
  <c r="L59" i="2"/>
  <c r="K58" i="2"/>
  <c r="N125" i="2"/>
  <c r="M124" i="2"/>
  <c r="M23" i="2"/>
  <c r="L22" i="2"/>
  <c r="L70" i="2"/>
  <c r="L86" i="2"/>
  <c r="M71" i="2"/>
  <c r="L65" i="2"/>
  <c r="L92" i="2" s="1"/>
  <c r="K64" i="2"/>
  <c r="K89" i="2"/>
  <c r="M50" i="2"/>
  <c r="L49" i="2"/>
  <c r="M84" i="2"/>
  <c r="L90" i="2"/>
  <c r="K16" i="2"/>
  <c r="L17" i="2"/>
  <c r="K32" i="2"/>
  <c r="K86" i="2"/>
  <c r="L136" i="2"/>
  <c r="M137" i="2"/>
  <c r="L33" i="2"/>
  <c r="M18" i="2"/>
  <c r="M54" i="2" s="1"/>
  <c r="K10" i="2"/>
  <c r="L11" i="2"/>
  <c r="K53" i="2"/>
  <c r="L38" i="2"/>
  <c r="K37" i="2"/>
  <c r="N149" i="2"/>
  <c r="M148" i="2"/>
  <c r="M144" i="2"/>
  <c r="L142" i="2"/>
  <c r="N83" i="2"/>
  <c r="N39" i="2"/>
  <c r="K92" i="2"/>
  <c r="K112" i="2"/>
  <c r="L113" i="2"/>
  <c r="O119" i="2"/>
  <c r="O118" i="2" s="1"/>
  <c r="N118" i="2"/>
  <c r="N43" i="2"/>
  <c r="O44" i="2"/>
  <c r="O43" i="2" s="1"/>
  <c r="N72" i="2" l="1"/>
  <c r="M87" i="2"/>
  <c r="M93" i="2"/>
  <c r="M76" i="2"/>
  <c r="N77" i="2"/>
  <c r="O149" i="2"/>
  <c r="O148" i="2" s="1"/>
  <c r="N148" i="2"/>
  <c r="N144" i="2"/>
  <c r="M142" i="2"/>
  <c r="N84" i="2"/>
  <c r="M90" i="2"/>
  <c r="M59" i="2"/>
  <c r="M86" i="2" s="1"/>
  <c r="L58" i="2"/>
  <c r="N18" i="2"/>
  <c r="M33" i="2"/>
  <c r="N137" i="2"/>
  <c r="M136" i="2"/>
  <c r="L53" i="2"/>
  <c r="M38" i="2"/>
  <c r="L37" i="2"/>
  <c r="M49" i="2"/>
  <c r="N50" i="2"/>
  <c r="N23" i="2"/>
  <c r="M22" i="2"/>
  <c r="M82" i="2"/>
  <c r="N82" i="2"/>
  <c r="O83" i="2"/>
  <c r="M17" i="2"/>
  <c r="L16" i="2"/>
  <c r="L32" i="2"/>
  <c r="M65" i="2"/>
  <c r="L64" i="2"/>
  <c r="L89" i="2"/>
  <c r="N124" i="2"/>
  <c r="O125" i="2"/>
  <c r="O124" i="2" s="1"/>
  <c r="O39" i="2"/>
  <c r="N54" i="2"/>
  <c r="M11" i="2"/>
  <c r="L10" i="2"/>
  <c r="L112" i="2"/>
  <c r="M113" i="2"/>
  <c r="N71" i="2"/>
  <c r="M70" i="2"/>
  <c r="O131" i="2"/>
  <c r="O130" i="2" s="1"/>
  <c r="N130" i="2"/>
  <c r="O77" i="2" l="1"/>
  <c r="O76" i="2" s="1"/>
  <c r="N76" i="2"/>
  <c r="N87" i="2"/>
  <c r="O72" i="2"/>
  <c r="N93" i="2"/>
  <c r="N113" i="2"/>
  <c r="M112" i="2"/>
  <c r="N90" i="2"/>
  <c r="O84" i="2"/>
  <c r="O90" i="2" s="1"/>
  <c r="N65" i="2"/>
  <c r="M64" i="2"/>
  <c r="M89" i="2"/>
  <c r="N136" i="2"/>
  <c r="O137" i="2"/>
  <c r="O136" i="2" s="1"/>
  <c r="O144" i="2"/>
  <c r="O142" i="2" s="1"/>
  <c r="N142" i="2"/>
  <c r="N22" i="2"/>
  <c r="O23" i="2"/>
  <c r="O22" i="2" s="1"/>
  <c r="N49" i="2"/>
  <c r="O50" i="2"/>
  <c r="O49" i="2" s="1"/>
  <c r="N33" i="2"/>
  <c r="O18" i="2"/>
  <c r="O33" i="2" s="1"/>
  <c r="O54" i="2"/>
  <c r="M16" i="2"/>
  <c r="M32" i="2"/>
  <c r="N17" i="2"/>
  <c r="N38" i="2"/>
  <c r="M37" i="2"/>
  <c r="M53" i="2"/>
  <c r="N11" i="2"/>
  <c r="M10" i="2"/>
  <c r="M92" i="2"/>
  <c r="N86" i="2"/>
  <c r="O71" i="2"/>
  <c r="N70" i="2"/>
  <c r="M58" i="2"/>
  <c r="N59" i="2"/>
  <c r="O93" i="2" l="1"/>
  <c r="O87" i="2"/>
  <c r="N64" i="2"/>
  <c r="O65" i="2"/>
  <c r="N89" i="2"/>
  <c r="N53" i="2"/>
  <c r="O38" i="2"/>
  <c r="N37" i="2"/>
  <c r="O86" i="2"/>
  <c r="O70" i="2"/>
  <c r="N16" i="2"/>
  <c r="N32" i="2"/>
  <c r="O17" i="2"/>
  <c r="N92" i="2"/>
  <c r="N58" i="2"/>
  <c r="O59" i="2"/>
  <c r="O58" i="2" s="1"/>
  <c r="O82" i="2"/>
  <c r="O11" i="2"/>
  <c r="O10" i="2" s="1"/>
  <c r="N10" i="2"/>
  <c r="O113" i="2"/>
  <c r="O112" i="2" s="1"/>
  <c r="N112" i="2"/>
  <c r="O37" i="2" l="1"/>
  <c r="O53" i="2"/>
  <c r="O64" i="2"/>
  <c r="O89" i="2"/>
  <c r="O92" i="2"/>
  <c r="O16" i="2"/>
  <c r="O32" i="2"/>
</calcChain>
</file>

<file path=xl/comments1.xml><?xml version="1.0" encoding="utf-8"?>
<comments xmlns="http://schemas.openxmlformats.org/spreadsheetml/2006/main">
  <authors>
    <author>MANUELVAL</author>
    <author>Manuel Vega Navarrate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I52" authorId="1" shapeId="0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J52" authorId="1" shapeId="0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K52" authorId="1" shapeId="0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L52" authorId="1" shapeId="0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8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07" authorId="0" shapeId="0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0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3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5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5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5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6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6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6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8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198" authorId="0" shapeId="0">
      <text>
        <r>
          <rPr>
            <b/>
            <sz val="9"/>
            <color indexed="81"/>
            <rFont val="Tahoma"/>
            <family val="2"/>
          </rPr>
          <t xml:space="preserve">MANUELVAL:
</t>
        </r>
        <r>
          <rPr>
            <sz val="9"/>
            <color indexed="81"/>
            <rFont val="Tahoma"/>
            <family val="2"/>
          </rPr>
          <t>QUE SE INVOLUCREN EN EL TEMA</t>
        </r>
      </text>
    </comment>
    <comment ref="A19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A20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</commentList>
</comments>
</file>

<file path=xl/comments2.xml><?xml version="1.0" encoding="utf-8"?>
<comments xmlns="http://schemas.openxmlformats.org/spreadsheetml/2006/main">
  <authors>
    <author>MANUELVAL</author>
    <author>Presidencia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AQUELLA AGUA ENTREGADA Y NO FACTURADA PERO SI REGISTRADA EN BITACORAS (M3 ENTREGADOS POR OTROS MEDIOS DISTINTOS A LA LINEAS DOMICILIARIAS O QUE NO SE COBRA POR ALGUNA RAZON Y NO ENTRAN AL SISTEMA COMERCIAL)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AQUELLA AGUA ENTREGADA Y NO FACTURADA PERO SI REGISTRADA EN BITACORAS (M3 ENTREGADOS POR OTROS MEDIOS DISTINTOS A LA LINEAS DOMICILIARIAS O QUE NO SE COBRA POR ALGUNA RAZON Y NO ENTRAN AL SISTEMA COMERCIAL)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INFORMATIVO, SALE DEL REUMEN OPERATIVO DEL SISTEMA COMERCIAL OMLECTURA CEL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INFORMATIVO, SALE DEL REUMEN OPERATIVO DEL SISTEMA COMERCIAL OMLECTURA CEL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B67" authorId="1" shapeId="0">
      <text>
        <r>
          <rPr>
            <b/>
            <sz val="9"/>
            <color indexed="81"/>
            <rFont val="Tahoma"/>
            <family val="2"/>
          </rPr>
          <t>- Son los importes cobrados en el mes, independientemente de cuando se hayan facturado.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</rPr>
          <t>- Son los importes cobrados en el mes, independientemente de cuando se hayan facturado.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EL DATO A 2019 QUE SE TENGA DE </t>
        </r>
        <r>
          <rPr>
            <b/>
            <sz val="9"/>
            <color indexed="81"/>
            <rFont val="Tahoma"/>
            <family val="2"/>
          </rPr>
          <t>CONAPO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 RESUMEN OPERATIVO DEL SISTEMA LECTURA CEL O COMERCIAL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VENDER AGUA TRATADA AL SECTOR PUBLICO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VENDER AGUA TRATADA AL SECTOR PUBLICO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FACTURADO EN EL MES DE AGUA TRATADA, EN CASO DE COMERCIALIZARLA.</t>
        </r>
      </text>
    </comment>
    <comment ref="C15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7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AQUELLAS EN LAS QUE SI SE MIDE EL CONSUMO DE AGUA</t>
        </r>
      </text>
    </comment>
    <comment ref="C17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AQUELLAS QUE NO SE PUEDE MEDIR CON PRECISIÓN EL CONSUMO</t>
        </r>
      </text>
    </comment>
    <comment ref="C17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REGISRTADAS COMO SERVICIO DE CUOTA FIJA EN SU PADRON</t>
        </r>
      </text>
    </comment>
    <comment ref="C178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AQUELLAS QUE ESTEN CATALOGADAS COMO ESTIMACIONES, MEDIDOR DAÑADO, PROMEDIO O CUOTA FIJA PERO INCLUIDAS EN EL PADRON DE SERVICIO MEDIDO, ETC.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IVA efectivamente recuperado en el mes</t>
        </r>
      </text>
    </comment>
    <comment ref="C18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IVA pendiente de recuperar según mis registros contables y que si se pueda recuperar. NO INCLUIR SALDOS VENCIDOS Y SIN GESTION</t>
        </r>
      </text>
    </comment>
    <comment ref="B191" authorId="1" shapeId="0">
      <text>
        <r>
          <rPr>
            <b/>
            <sz val="9"/>
            <color indexed="81"/>
            <rFont val="Tahoma"/>
            <family val="2"/>
          </rPr>
          <t>Cualquier empleado tiene que caer en alguna de estas categorpias para que el 100% de los empleados este reflejados</t>
        </r>
      </text>
    </comment>
    <comment ref="C192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04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217" authorId="0" shapeId="0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SALDOS SEGÚN BALANZA DE COMPROBACIÓN Y ETIQUETADOS PARA EL DESTINO DESCRITO</t>
        </r>
      </text>
    </comment>
  </commentList>
</comments>
</file>

<file path=xl/sharedStrings.xml><?xml version="1.0" encoding="utf-8"?>
<sst xmlns="http://schemas.openxmlformats.org/spreadsheetml/2006/main" count="514" uniqueCount="305">
  <si>
    <r>
      <t xml:space="preserve">JUNTA MUNICIPAL DE AGUA Y SANEAMIENTO DE </t>
    </r>
    <r>
      <rPr>
        <b/>
        <sz val="16"/>
        <color rgb="FFFF0000"/>
        <rFont val="Arial"/>
        <family val="2"/>
      </rPr>
      <t>NUEVO CASAS GRANDES</t>
    </r>
  </si>
  <si>
    <t>PROGRAMA DE INDICADORES DE GESTION DE ORGANISMOS OPERADORES</t>
  </si>
  <si>
    <t>Ejercicio Fiscal 2021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</si>
  <si>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</si>
  <si>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</si>
  <si>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</si>
  <si>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</si>
  <si>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</si>
  <si>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</si>
  <si>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</si>
  <si>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</si>
  <si>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</si>
  <si>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</si>
  <si>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</si>
  <si>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</si>
  <si>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</si>
  <si>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</si>
  <si>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</si>
  <si>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</si>
  <si>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</si>
  <si>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</si>
  <si>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</si>
  <si>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</si>
  <si>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</si>
  <si>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</si>
  <si>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</si>
  <si>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ii) resto de los ingresos propios</t>
  </si>
  <si>
    <t>b) Descuento social</t>
  </si>
  <si>
    <t>c) Bonificaciones</t>
  </si>
  <si>
    <t>c) Ajustes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</si>
  <si>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</si>
  <si>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</si>
  <si>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</si>
  <si>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</si>
  <si>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</si>
  <si>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</si>
  <si>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</si>
  <si>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</si>
  <si>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 xml:space="preserve">iii) DFEA Pagados </t>
  </si>
  <si>
    <t>iv) Resto de los Servicios</t>
  </si>
  <si>
    <t>d) Apoyos y transferencias y Otros</t>
  </si>
  <si>
    <t>e) Otros gastos y perdidas extraordinarias</t>
  </si>
  <si>
    <t>* NO REPETIR LAS BONIFICACIONES, DESCUENTOS Y AJUSTES EN LOS GASTOS OPERATIVOS.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</si>
  <si>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</si>
  <si>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</si>
  <si>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</si>
  <si>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</si>
  <si>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</si>
  <si>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</si>
  <si>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</si>
  <si>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</si>
  <si>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</si>
  <si>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</si>
  <si>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</si>
  <si>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</si>
  <si>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</si>
  <si>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</si>
  <si>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</si>
  <si>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</si>
  <si>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</si>
  <si>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 xml:space="preserve">      Saldo DFEA pendente de pago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</si>
  <si>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</si>
  <si>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</si>
  <si>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</si>
  <si>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</si>
  <si>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</si>
  <si>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</si>
  <si>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N/A</t>
  </si>
  <si>
    <t>Avance de Diagnostico de Medición de Presiones y Recuperción de caudales (% avance)</t>
  </si>
  <si>
    <t>Agua Potable</t>
  </si>
  <si>
    <r>
      <t>Volumen de agua producida en m</t>
    </r>
    <r>
      <rPr>
        <b/>
        <vertAlign val="superscript"/>
        <sz val="11"/>
        <color indexed="8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</si>
  <si>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</si>
  <si>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</si>
  <si>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</si>
  <si>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</si>
  <si>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</si>
  <si>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</si>
  <si>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</si>
  <si>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</si>
  <si>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</si>
  <si>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</si>
  <si>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</si>
  <si>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</si>
  <si>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</si>
  <si>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</si>
  <si>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</si>
  <si>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</si>
  <si>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</si>
  <si>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</si>
  <si>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</si>
  <si>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</si>
  <si>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Comercial</t>
  </si>
  <si>
    <t>Facturación de Agua, Alcant. y Saneamiento en $ (A+B+C+D+E)</t>
  </si>
  <si>
    <t>Cobrado de Agua, Alcant. y Saneamiento en $ (A+B+C+D+E)</t>
  </si>
  <si>
    <t>No. De Cortes Efectivos del Mes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</si>
  <si>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</si>
  <si>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</si>
  <si>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</si>
  <si>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</si>
  <si>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</si>
  <si>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</si>
  <si>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</si>
  <si>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</si>
  <si>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</si>
  <si>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</si>
  <si>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</si>
  <si>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</si>
  <si>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</si>
  <si>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</si>
  <si>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>Cobertura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</si>
  <si>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</si>
  <si>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</si>
  <si>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</si>
  <si>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</si>
  <si>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</si>
  <si>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</si>
  <si>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</si>
  <si>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</si>
  <si>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</si>
  <si>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</si>
  <si>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</si>
  <si>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$   25 M3</t>
  </si>
  <si>
    <t xml:space="preserve">               Comercial $  35 m3</t>
  </si>
  <si>
    <t xml:space="preserve">               Industrial $  120 m3</t>
  </si>
  <si>
    <t>A los usuarios de cuota fija se asigna volumen estimado m3/mes</t>
  </si>
  <si>
    <t>no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</si>
  <si>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</si>
  <si>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</si>
  <si>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</si>
  <si>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</si>
  <si>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</si>
  <si>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</si>
  <si>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</si>
  <si>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</si>
  <si>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</si>
  <si>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</si>
  <si>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</si>
  <si>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</si>
  <si>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</si>
  <si>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</si>
  <si>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</si>
  <si>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</si>
  <si>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</si>
  <si>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</si>
  <si>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</si>
  <si>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</si>
  <si>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</si>
  <si>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</si>
  <si>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</si>
  <si>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</si>
  <si>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</si>
  <si>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</si>
  <si>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</si>
  <si>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</si>
  <si>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</si>
  <si>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r>
      <t>Volumen de Almacenamiento de los Tanques m</t>
    </r>
    <r>
      <rPr>
        <vertAlign val="superscript"/>
        <sz val="11"/>
        <color rgb="FFFF0000"/>
        <rFont val="Arial"/>
        <family val="2"/>
      </rPr>
      <t>3</t>
    </r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</si>
  <si>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</si>
  <si>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</si>
  <si>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</si>
  <si>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</si>
  <si>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</si>
  <si>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</si>
  <si>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</si>
  <si>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</si>
  <si>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</si>
  <si>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</si>
  <si>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</si>
  <si>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</si>
  <si>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</si>
  <si>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</si>
  <si>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</si>
  <si>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</si>
  <si>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</si>
  <si>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INDICADORES MENSUALES JMAS</t>
  </si>
  <si>
    <t>UNIDAD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</si>
  <si>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</si>
  <si>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</si>
  <si>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</si>
  <si>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</si>
  <si>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</si>
  <si>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</si>
  <si>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</si>
  <si>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</si>
  <si>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</si>
  <si>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</si>
  <si>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</si>
  <si>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</si>
  <si>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</si>
  <si>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</t>
    </r>
    <r>
      <rPr>
        <b/>
        <vertAlign val="superscript"/>
        <sz val="20"/>
        <color theme="1"/>
        <rFont val="Calibri"/>
        <family val="2"/>
        <scheme val="minor"/>
      </rPr>
      <t>3</t>
    </r>
  </si>
  <si>
    <t xml:space="preserve">Volumen Producido (Alumbrado)         </t>
  </si>
  <si>
    <t>Mensual 2021</t>
  </si>
  <si>
    <t>Mensual 2020</t>
  </si>
  <si>
    <t>Crecimiento mensual vs. 2020</t>
  </si>
  <si>
    <t>Crecimiento Acumulado vs. 2020</t>
  </si>
  <si>
    <t>Acumulado 2021</t>
  </si>
  <si>
    <t>Acumulado 2020</t>
  </si>
  <si>
    <t xml:space="preserve">Volumen  TOTAL Facturado                </t>
  </si>
  <si>
    <t>Volumen Facturado al Sector Público                  M3</t>
  </si>
  <si>
    <t>Volumen Entregado No Facturado (Pipas, POI, Etc.)</t>
  </si>
  <si>
    <t>Eficiencia Física</t>
  </si>
  <si>
    <t>Mensual</t>
  </si>
  <si>
    <t>Acumulado en el año 2021</t>
  </si>
  <si>
    <t>Acumulado en el año 2020</t>
  </si>
  <si>
    <t xml:space="preserve">Volumen Cobrado a Tiempo         </t>
  </si>
  <si>
    <t xml:space="preserve">Volumen Cobrado de Rezago         </t>
  </si>
  <si>
    <t>Volumen Cobrado al Sector Público                  M3</t>
  </si>
  <si>
    <t>Eficiencia Comercial</t>
  </si>
  <si>
    <t>$</t>
  </si>
  <si>
    <t>Importe facturado a todos los usuarios excepto al  Sector Publico</t>
  </si>
  <si>
    <t>Importe facturado al sector público</t>
  </si>
  <si>
    <t>Importe TOTAL cobrado a Tiempo</t>
  </si>
  <si>
    <t>Importe TOTAL cobrado de Rezago</t>
  </si>
  <si>
    <t xml:space="preserve">Importe Cobrado al sector público </t>
  </si>
  <si>
    <t>Eficiencia Cobranza s/ sector público</t>
  </si>
  <si>
    <t>Eficiencia cobranza  (sólo sector público)</t>
  </si>
  <si>
    <t>Eficiencia Cobranza GLOBAL</t>
  </si>
  <si>
    <t>Habitantes (CONAPO)</t>
  </si>
  <si>
    <t>Dotación Habitante/Dia</t>
  </si>
  <si>
    <t>Consumo Habitante/Dia</t>
  </si>
  <si>
    <t>Cuentas con Rezago</t>
  </si>
  <si>
    <t>Domestico</t>
  </si>
  <si>
    <t>Industrial</t>
  </si>
  <si>
    <t>Escolar</t>
  </si>
  <si>
    <t>Publico</t>
  </si>
  <si>
    <t>Acumulado 2019</t>
  </si>
  <si>
    <t>Acumulado 2018</t>
  </si>
  <si>
    <t>Acumulado 2017</t>
  </si>
  <si>
    <t xml:space="preserve">Volumen de Agua Tratada                        </t>
  </si>
  <si>
    <t xml:space="preserve"> </t>
  </si>
  <si>
    <t xml:space="preserve">Volumen de Agua Tratada Facturado </t>
  </si>
  <si>
    <t xml:space="preserve">Volumen de Agua Tratada Facturada al Sector Público       </t>
  </si>
  <si>
    <t xml:space="preserve">Importe facturado de agua tratada excepto sector público </t>
  </si>
  <si>
    <t>Importe facturado de agua tratada al sector público</t>
  </si>
  <si>
    <t>Importe Cobrado de agua tratada a todos menos sector publico</t>
  </si>
  <si>
    <t>Importe  cobrado en agua tratada al sector público</t>
  </si>
  <si>
    <t>Indice de agua tratada</t>
  </si>
  <si>
    <t>Volumen tratado / Volumen facturado  (Agua Potable)</t>
  </si>
  <si>
    <t>Volumen Tratado Facturado / Volumen Tratado TOTAL</t>
  </si>
  <si>
    <t>Eficiencia Cobranza Agua Tratada (incluyendo SP)</t>
  </si>
  <si>
    <t>Costo y consumo de Energía únicamente de Producción y Distribución del Volumen de Agua , Saneamiento y Alcantarillado</t>
  </si>
  <si>
    <t>Pago Electricidad Mensual 2021</t>
  </si>
  <si>
    <t>Pago Electricidad Mensual 2020</t>
  </si>
  <si>
    <t>Costo por M3 alumbrado 2021</t>
  </si>
  <si>
    <t>Costo por M3 alumbrado 2020</t>
  </si>
  <si>
    <t>KWH</t>
  </si>
  <si>
    <t>Consumo en KWH</t>
  </si>
  <si>
    <t>KWH por m3</t>
  </si>
  <si>
    <t>Costo Promedio Kwh</t>
  </si>
  <si>
    <t>Datos Comerciales</t>
  </si>
  <si>
    <t>Cortes efectivos del mes 2021</t>
  </si>
  <si>
    <t>Cortes acumulados en 2021</t>
  </si>
  <si>
    <t>Reconexiones del mes 2021 (independientemente del mes en que se hizo el corte)</t>
  </si>
  <si>
    <t>Reconexiones acumulado 2021</t>
  </si>
  <si>
    <t>Eficiencia de corte</t>
  </si>
  <si>
    <t>Importe de multas cobradas en el mes 2021</t>
  </si>
  <si>
    <t>Importe de multas cobradas acumuladas 2021</t>
  </si>
  <si>
    <t># de usuarios con servicio continuo</t>
  </si>
  <si>
    <t>% de usuarios con servicio continuo</t>
  </si>
  <si>
    <t># de tomas (total tomas)</t>
  </si>
  <si>
    <t># de tomas con medidor</t>
  </si>
  <si>
    <t>% de tomas con medidor</t>
  </si>
  <si>
    <t># de tomas sin medidor</t>
  </si>
  <si>
    <t>% de tomas sin medidor</t>
  </si>
  <si>
    <t># de tomas sin medidor y cobrando cuota fija</t>
  </si>
  <si>
    <t>% de tomas sin medidor y cobrando cuota fija</t>
  </si>
  <si>
    <t># de tomas con clave  de medición (estimado, promedio, etc)</t>
  </si>
  <si>
    <t>% de tomas con medidor y cobrando cuota fija.</t>
  </si>
  <si>
    <t>Eventos de pago a tiempo del mes 2021</t>
  </si>
  <si>
    <t>Eventos de pago a tiempo del mes 2020</t>
  </si>
  <si>
    <t>Eficiencia eventos de pago 2021</t>
  </si>
  <si>
    <t>Usuarios con Descuento Social</t>
  </si>
  <si>
    <t>Importe cobrado con Descuento Social</t>
  </si>
  <si>
    <t>Importe de IVA recuperado en el mes (ya depositado)</t>
  </si>
  <si>
    <t>importe de IVA recuperado acumulado en el año 2021</t>
  </si>
  <si>
    <t xml:space="preserve">Importe de IVA por recuperar </t>
  </si>
  <si>
    <t># de medidores nuevos instalados en usuarios en el mes</t>
  </si>
  <si>
    <t># de medidores nuevos instalados en usuarios acumulado</t>
  </si>
  <si>
    <t># de comités de agua en su jurisdicción</t>
  </si>
  <si>
    <t>Cualquier empleado de planta o eventual, por honorarios o de cualquier otro tipo, anotarlo en alguna de estas categorías</t>
  </si>
  <si>
    <t>Número de empleados sindicalizados activos</t>
  </si>
  <si>
    <t>Al cierre del mes 2021</t>
  </si>
  <si>
    <t xml:space="preserve">Septiembre 2016 </t>
  </si>
  <si>
    <t>Reducción en número</t>
  </si>
  <si>
    <t>Reducción en porcentaje</t>
  </si>
  <si>
    <t>Número de empleados de confianza activos</t>
  </si>
  <si>
    <t>Al cierre del mes</t>
  </si>
  <si>
    <t>Número de empleados sindicalizados pensionados o jubilados</t>
  </si>
  <si>
    <t>Número de empleados de confianza pensionados o jubilados</t>
  </si>
  <si>
    <t>Subtotal Empleados Activos 2021</t>
  </si>
  <si>
    <t>Subtotal Empleados Activos 2016</t>
  </si>
  <si>
    <t>Subtotal emp. pensionados o jubilados 2021</t>
  </si>
  <si>
    <t>Subtotal emp. pensionados o jubilados 2016</t>
  </si>
  <si>
    <t>Gran Total de 2021</t>
  </si>
  <si>
    <t>Gran Total de 2016</t>
  </si>
  <si>
    <t xml:space="preserve">Número de empleados cada mil tomas </t>
  </si>
  <si>
    <t>Con Pensionados y jubilados</t>
  </si>
  <si>
    <t>Sin pensionados y jubilados</t>
  </si>
  <si>
    <t>Gasto de Inversión Recursos Propios</t>
  </si>
  <si>
    <t>Mensual PIGOO</t>
  </si>
  <si>
    <t xml:space="preserve">Acumulado en el año </t>
  </si>
  <si>
    <t xml:space="preserve">$ </t>
  </si>
  <si>
    <t xml:space="preserve">Saldo en bancos privisionado para: </t>
  </si>
  <si>
    <t>Aguinaldos al cierre de mes</t>
  </si>
  <si>
    <t>DFEA al cierre de mes</t>
  </si>
  <si>
    <t>Inversión en bancos al cierre de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</si>
</sst>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#,##0_ ;[Red]\-#,##0\ "/>
    <numFmt numFmtId="169" formatCode="#,##0.00;[Red]#,##0.00"/>
    <numFmt numFmtId="170" formatCode="#,##0.00000;[Red]#,##0.00000"/>
    <numFmt numFmtId="171" formatCode="_-* #,##0.0_-;\-* #,##0.0_-;_-* &quot;-&quot;??_-;_-@_-"/>
    <numFmt numFmtId="172" formatCode="_-* #,##0.000_-;\-* #,##0.000_-;_-* &quot;-&quot;??_-;_-@_-"/>
    <numFmt numFmtId="173" formatCode="_-&quot;$&quot;* #,##0_-;\-&quot;$&quot;* #,##0_-;_-&quot;$&quot;* &quot;-&quot;??_-;_-@_-"/>
    <numFmt numFmtId="174" formatCode="_(&quot;$&quot;* #,##0.00_);_(&quot;$&quot;* \(#,##0.00\);_(&quot;$&quot;* &quot;-&quot;??_);_(@_)"/>
    <numFmt numFmtId="175" formatCode="#,##0.00_ ;\-#,##0.00\ "/>
    <numFmt numFmtId="176" formatCode="_(&quot;$&quot;* #,##0_);_(&quot;$&quot;* \(#,##0\);_(&quot;$&quot;* &quot;-&quot;_);_(@_)"/>
    <numFmt numFmtId="177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2"/>
      <color rgb="FFFF0000"/>
      <name val="Arial"/>
      <family val="2"/>
    </font>
    <font>
      <b/>
      <sz val="8"/>
      <color rgb="FF002060"/>
      <name val="Arial"/>
      <family val="2"/>
    </font>
    <font>
      <b/>
      <i/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5">
    <xf numFmtId="0" fontId="0" fillId="0" borderId="0" xfId="0"/>
    <xf numFmtId="1" fontId="3" fillId="2" borderId="0" xfId="0" applyNumberFormat="1" applyFont="1" applyFill="1" applyAlignment="1">
      <alignment horizontal="center"/>
    </xf>
    <xf numFmtId="0" fontId="6" fillId="2" borderId="0" xfId="4" applyFont="1" applyFill="1"/>
    <xf numFmtId="1" fontId="7" fillId="2" borderId="0" xfId="4" applyNumberFormat="1" applyFont="1" applyFill="1" applyAlignment="1">
      <alignment horizontal="center"/>
    </xf>
    <xf numFmtId="1" fontId="8" fillId="2" borderId="0" xfId="4" applyNumberFormat="1" applyFont="1" applyFill="1" applyAlignment="1">
      <alignment horizontal="center"/>
    </xf>
    <xf numFmtId="1" fontId="9" fillId="3" borderId="0" xfId="4" applyNumberFormat="1" applyFont="1" applyFill="1" applyAlignment="1">
      <alignment horizontal="center"/>
    </xf>
    <xf numFmtId="0" fontId="10" fillId="0" borderId="0" xfId="0" applyFont="1"/>
    <xf numFmtId="1" fontId="11" fillId="0" borderId="0" xfId="4" applyNumberFormat="1" applyFont="1" applyAlignment="1">
      <alignment horizontal="center"/>
    </xf>
    <xf numFmtId="1" fontId="12" fillId="0" borderId="0" xfId="4" applyNumberFormat="1" applyFont="1" applyAlignment="1">
      <alignment horizontal="center"/>
    </xf>
    <xf numFmtId="1" fontId="13" fillId="0" borderId="0" xfId="4" applyNumberFormat="1" applyFont="1" applyAlignment="1">
      <alignment horizontal="center"/>
    </xf>
    <xf numFmtId="0" fontId="6" fillId="0" borderId="0" xfId="4" applyFont="1"/>
    <xf numFmtId="0" fontId="14" fillId="4" borderId="1" xfId="4" applyFont="1" applyFill="1" applyBorder="1" applyAlignment="1">
      <alignment horizontal="center" vertical="center"/>
    </xf>
    <xf numFmtId="1" fontId="14" fillId="4" borderId="1" xfId="4" applyNumberFormat="1" applyFont="1" applyFill="1" applyBorder="1" applyAlignment="1">
      <alignment horizontal="center" vertical="center" wrapText="1"/>
    </xf>
    <xf numFmtId="1" fontId="15" fillId="4" borderId="1" xfId="4" applyNumberFormat="1" applyFont="1" applyFill="1" applyBorder="1" applyAlignment="1">
      <alignment horizontal="center" vertical="center" wrapText="1"/>
    </xf>
    <xf numFmtId="0" fontId="8" fillId="5" borderId="0" xfId="4" applyFont="1" applyFill="1" applyAlignment="1">
      <alignment horizontal="center" vertical="center"/>
    </xf>
    <xf numFmtId="1" fontId="14" fillId="0" borderId="0" xfId="4" applyNumberFormat="1" applyFont="1" applyAlignment="1">
      <alignment horizontal="center" vertical="center" wrapText="1"/>
    </xf>
    <xf numFmtId="1" fontId="15" fillId="0" borderId="0" xfId="4" applyNumberFormat="1" applyFont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43" fontId="16" fillId="6" borderId="3" xfId="5" applyFont="1" applyFill="1" applyBorder="1" applyAlignment="1" applyProtection="1">
      <alignment horizontal="right" vertical="center"/>
    </xf>
    <xf numFmtId="9" fontId="16" fillId="6" borderId="4" xfId="3" applyFont="1" applyFill="1" applyBorder="1" applyAlignment="1" applyProtection="1">
      <alignment horizontal="right" vertical="center"/>
    </xf>
    <xf numFmtId="0" fontId="17" fillId="7" borderId="5" xfId="0" applyFont="1" applyFill="1" applyBorder="1" applyAlignment="1">
      <alignment horizontal="left" vertical="center" indent="2"/>
    </xf>
    <xf numFmtId="43" fontId="18" fillId="7" borderId="6" xfId="5" applyFont="1" applyFill="1" applyBorder="1" applyAlignment="1" applyProtection="1">
      <alignment horizontal="right" vertical="center"/>
    </xf>
    <xf numFmtId="9" fontId="18" fillId="7" borderId="7" xfId="3" applyFont="1" applyFill="1" applyBorder="1" applyAlignment="1" applyProtection="1">
      <alignment horizontal="right" vertical="center"/>
    </xf>
    <xf numFmtId="0" fontId="17" fillId="7" borderId="5" xfId="0" applyFont="1" applyFill="1" applyBorder="1" applyAlignment="1">
      <alignment horizontal="left" vertical="center" indent="4"/>
    </xf>
    <xf numFmtId="0" fontId="19" fillId="0" borderId="5" xfId="0" applyFont="1" applyBorder="1" applyAlignment="1">
      <alignment horizontal="left" vertical="center" indent="6"/>
    </xf>
    <xf numFmtId="43" fontId="18" fillId="0" borderId="6" xfId="5" applyFont="1" applyFill="1" applyBorder="1" applyAlignment="1" applyProtection="1">
      <alignment horizontal="right" vertical="center"/>
    </xf>
    <xf numFmtId="4" fontId="20" fillId="8" borderId="0" xfId="0" applyNumberFormat="1" applyFont="1" applyFill="1" applyBorder="1" applyAlignment="1">
      <alignment horizontal="right" vertical="top"/>
    </xf>
    <xf numFmtId="43" fontId="18" fillId="9" borderId="6" xfId="5" applyFont="1" applyFill="1" applyBorder="1" applyAlignment="1" applyProtection="1">
      <alignment horizontal="right" vertical="center"/>
    </xf>
    <xf numFmtId="9" fontId="18" fillId="0" borderId="7" xfId="3" applyFont="1" applyFill="1" applyBorder="1" applyAlignment="1" applyProtection="1">
      <alignment horizontal="right" vertical="center"/>
    </xf>
    <xf numFmtId="0" fontId="19" fillId="0" borderId="5" xfId="0" applyFont="1" applyBorder="1" applyAlignment="1">
      <alignment horizontal="left" vertical="center" indent="4"/>
    </xf>
    <xf numFmtId="164" fontId="18" fillId="0" borderId="6" xfId="5" applyNumberFormat="1" applyFont="1" applyFill="1" applyBorder="1" applyAlignment="1" applyProtection="1">
      <alignment horizontal="right" vertical="center"/>
    </xf>
    <xf numFmtId="164" fontId="18" fillId="9" borderId="6" xfId="5" applyNumberFormat="1" applyFont="1" applyFill="1" applyBorder="1" applyAlignment="1" applyProtection="1">
      <alignment horizontal="right" vertical="center"/>
    </xf>
    <xf numFmtId="0" fontId="19" fillId="0" borderId="5" xfId="0" applyFont="1" applyBorder="1" applyAlignment="1">
      <alignment horizontal="left" vertical="center" indent="2"/>
    </xf>
    <xf numFmtId="9" fontId="16" fillId="0" borderId="8" xfId="3" applyFont="1" applyFill="1" applyBorder="1" applyAlignment="1" applyProtection="1">
      <alignment horizontal="right" vertical="center"/>
    </xf>
    <xf numFmtId="0" fontId="18" fillId="0" borderId="5" xfId="0" applyFont="1" applyBorder="1" applyAlignment="1">
      <alignment horizontal="left" vertical="center" indent="2"/>
    </xf>
    <xf numFmtId="165" fontId="21" fillId="0" borderId="7" xfId="5" applyNumberFormat="1" applyFont="1" applyFill="1" applyBorder="1" applyAlignment="1" applyProtection="1">
      <alignment horizontal="right" vertical="center"/>
    </xf>
    <xf numFmtId="0" fontId="8" fillId="6" borderId="5" xfId="0" applyFont="1" applyFill="1" applyBorder="1" applyAlignment="1">
      <alignment horizontal="left" vertical="center"/>
    </xf>
    <xf numFmtId="43" fontId="16" fillId="6" borderId="6" xfId="5" applyFont="1" applyFill="1" applyBorder="1" applyAlignment="1" applyProtection="1">
      <alignment horizontal="right" vertical="center"/>
    </xf>
    <xf numFmtId="9" fontId="18" fillId="6" borderId="7" xfId="3" applyFont="1" applyFill="1" applyBorder="1" applyAlignment="1" applyProtection="1">
      <alignment horizontal="right" vertical="center"/>
    </xf>
    <xf numFmtId="43" fontId="16" fillId="7" borderId="6" xfId="5" applyFont="1" applyFill="1" applyBorder="1" applyAlignment="1" applyProtection="1">
      <alignment horizontal="right" vertical="center"/>
    </xf>
    <xf numFmtId="0" fontId="22" fillId="0" borderId="5" xfId="0" applyFont="1" applyBorder="1" applyAlignment="1">
      <alignment horizontal="left" vertical="center" indent="4"/>
    </xf>
    <xf numFmtId="4" fontId="0" fillId="0" borderId="0" xfId="0" applyNumberFormat="1" applyBorder="1"/>
    <xf numFmtId="0" fontId="18" fillId="7" borderId="5" xfId="0" applyFont="1" applyFill="1" applyBorder="1" applyAlignment="1">
      <alignment horizontal="left" vertical="center" indent="4"/>
    </xf>
    <xf numFmtId="9" fontId="16" fillId="0" borderId="7" xfId="3" applyFont="1" applyFill="1" applyBorder="1" applyAlignment="1" applyProtection="1">
      <alignment horizontal="right" vertical="center"/>
    </xf>
    <xf numFmtId="43" fontId="18" fillId="0" borderId="9" xfId="5" applyFont="1" applyFill="1" applyBorder="1" applyAlignment="1" applyProtection="1">
      <alignment horizontal="right" vertical="center"/>
    </xf>
    <xf numFmtId="0" fontId="23" fillId="10" borderId="5" xfId="0" quotePrefix="1" applyFont="1" applyFill="1" applyBorder="1" applyAlignment="1">
      <alignment horizontal="left" vertical="center" indent="4"/>
    </xf>
    <xf numFmtId="0" fontId="24" fillId="7" borderId="5" xfId="0" applyFont="1" applyFill="1" applyBorder="1" applyAlignment="1">
      <alignment horizontal="right" vertical="center"/>
    </xf>
    <xf numFmtId="0" fontId="18" fillId="7" borderId="5" xfId="0" applyFont="1" applyFill="1" applyBorder="1" applyAlignment="1">
      <alignment horizontal="left" vertical="center" indent="2"/>
    </xf>
    <xf numFmtId="0" fontId="0" fillId="11" borderId="0" xfId="0" applyFill="1"/>
    <xf numFmtId="4" fontId="20" fillId="8" borderId="10" xfId="0" applyNumberFormat="1" applyFont="1" applyFill="1" applyBorder="1" applyAlignment="1">
      <alignment horizontal="right" vertical="top"/>
    </xf>
    <xf numFmtId="0" fontId="24" fillId="0" borderId="5" xfId="0" applyFont="1" applyBorder="1" applyAlignment="1">
      <alignment horizontal="right" vertical="center"/>
    </xf>
    <xf numFmtId="43" fontId="16" fillId="0" borderId="6" xfId="5" applyFont="1" applyFill="1" applyBorder="1" applyAlignment="1" applyProtection="1">
      <alignment horizontal="right" vertical="center"/>
    </xf>
    <xf numFmtId="0" fontId="16" fillId="5" borderId="5" xfId="0" applyFont="1" applyFill="1" applyBorder="1" applyAlignment="1">
      <alignment horizontal="center" vertical="center"/>
    </xf>
    <xf numFmtId="0" fontId="6" fillId="0" borderId="11" xfId="4" applyFont="1" applyBorder="1"/>
    <xf numFmtId="43" fontId="18" fillId="0" borderId="12" xfId="5" applyFont="1" applyFill="1" applyBorder="1" applyAlignment="1" applyProtection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43" fontId="16" fillId="12" borderId="3" xfId="5" applyFont="1" applyFill="1" applyBorder="1" applyAlignment="1" applyProtection="1">
      <alignment horizontal="right" vertical="center"/>
    </xf>
    <xf numFmtId="43" fontId="18" fillId="0" borderId="6" xfId="5" applyFont="1" applyFill="1" applyBorder="1" applyAlignment="1" applyProtection="1">
      <alignment horizontal="right" vertical="center"/>
      <protection locked="0"/>
    </xf>
    <xf numFmtId="43" fontId="18" fillId="9" borderId="6" xfId="5" applyFont="1" applyFill="1" applyBorder="1" applyAlignment="1" applyProtection="1">
      <alignment horizontal="right" vertical="center"/>
      <protection locked="0"/>
    </xf>
    <xf numFmtId="0" fontId="8" fillId="12" borderId="2" xfId="0" applyFont="1" applyFill="1" applyBorder="1" applyAlignment="1">
      <alignment horizontal="left" vertical="center"/>
    </xf>
    <xf numFmtId="166" fontId="18" fillId="0" borderId="6" xfId="1" applyFont="1" applyFill="1" applyBorder="1" applyAlignment="1" applyProtection="1">
      <alignment horizontal="right" vertical="center"/>
      <protection locked="0"/>
    </xf>
    <xf numFmtId="0" fontId="18" fillId="9" borderId="11" xfId="0" applyFont="1" applyFill="1" applyBorder="1" applyAlignment="1">
      <alignment horizontal="left" vertical="center" indent="2"/>
    </xf>
    <xf numFmtId="0" fontId="19" fillId="0" borderId="5" xfId="0" applyFont="1" applyBorder="1" applyAlignment="1">
      <alignment horizontal="left" vertical="center"/>
    </xf>
    <xf numFmtId="9" fontId="18" fillId="0" borderId="6" xfId="3" applyFont="1" applyFill="1" applyBorder="1" applyAlignment="1" applyProtection="1">
      <alignment horizontal="right" vertical="center"/>
      <protection locked="0"/>
    </xf>
    <xf numFmtId="0" fontId="18" fillId="0" borderId="5" xfId="0" applyFont="1" applyBorder="1" applyAlignment="1">
      <alignment horizontal="left" vertical="center"/>
    </xf>
    <xf numFmtId="165" fontId="16" fillId="12" borderId="3" xfId="5" applyNumberFormat="1" applyFont="1" applyFill="1" applyBorder="1" applyAlignment="1" applyProtection="1">
      <alignment horizontal="right" vertical="center"/>
    </xf>
    <xf numFmtId="165" fontId="18" fillId="9" borderId="6" xfId="5" applyNumberFormat="1" applyFont="1" applyFill="1" applyBorder="1" applyAlignment="1" applyProtection="1">
      <alignment horizontal="right" vertical="center"/>
      <protection locked="0"/>
    </xf>
    <xf numFmtId="165" fontId="18" fillId="0" borderId="6" xfId="5" applyNumberFormat="1" applyFont="1" applyFill="1" applyBorder="1" applyAlignment="1" applyProtection="1">
      <alignment horizontal="right" vertical="center"/>
      <protection locked="0"/>
    </xf>
    <xf numFmtId="165" fontId="18" fillId="9" borderId="6" xfId="5" applyNumberFormat="1" applyFont="1" applyFill="1" applyBorder="1" applyAlignment="1" applyProtection="1">
      <alignment horizontal="right" vertical="center"/>
    </xf>
    <xf numFmtId="0" fontId="19" fillId="9" borderId="11" xfId="0" applyFont="1" applyFill="1" applyBorder="1" applyAlignment="1">
      <alignment horizontal="left" vertical="center" indent="2"/>
    </xf>
    <xf numFmtId="165" fontId="18" fillId="0" borderId="6" xfId="5" applyNumberFormat="1" applyFont="1" applyFill="1" applyBorder="1" applyAlignment="1" applyProtection="1">
      <alignment horizontal="right" vertical="center"/>
    </xf>
    <xf numFmtId="0" fontId="27" fillId="0" borderId="5" xfId="6" applyFont="1" applyBorder="1"/>
    <xf numFmtId="3" fontId="27" fillId="0" borderId="0" xfId="6" applyNumberFormat="1" applyFont="1"/>
    <xf numFmtId="0" fontId="8" fillId="7" borderId="5" xfId="0" applyFont="1" applyFill="1" applyBorder="1" applyAlignment="1">
      <alignment horizontal="left" vertical="center"/>
    </xf>
    <xf numFmtId="43" fontId="18" fillId="0" borderId="6" xfId="5" applyFont="1" applyFill="1" applyBorder="1" applyAlignment="1" applyProtection="1">
      <alignment horizontal="left" vertical="center"/>
      <protection locked="0"/>
    </xf>
    <xf numFmtId="167" fontId="27" fillId="0" borderId="5" xfId="5" applyNumberFormat="1" applyFont="1" applyBorder="1" applyAlignment="1" applyProtection="1">
      <alignment horizontal="left" indent="1"/>
    </xf>
    <xf numFmtId="167" fontId="28" fillId="0" borderId="6" xfId="5" applyNumberFormat="1" applyFont="1" applyFill="1" applyBorder="1" applyProtection="1"/>
    <xf numFmtId="167" fontId="28" fillId="0" borderId="5" xfId="5" applyNumberFormat="1" applyFont="1" applyFill="1" applyBorder="1" applyAlignment="1" applyProtection="1">
      <alignment horizontal="left" indent="1"/>
    </xf>
    <xf numFmtId="167" fontId="28" fillId="0" borderId="6" xfId="5" applyNumberFormat="1" applyFont="1" applyFill="1" applyBorder="1" applyProtection="1">
      <protection locked="0"/>
    </xf>
    <xf numFmtId="0" fontId="8" fillId="5" borderId="5" xfId="0" applyFont="1" applyFill="1" applyBorder="1" applyAlignment="1">
      <alignment horizontal="left" vertical="center"/>
    </xf>
    <xf numFmtId="0" fontId="22" fillId="7" borderId="5" xfId="0" applyFont="1" applyFill="1" applyBorder="1" applyAlignment="1">
      <alignment horizontal="left" vertical="center" indent="3"/>
    </xf>
    <xf numFmtId="43" fontId="16" fillId="7" borderId="6" xfId="5" applyFont="1" applyFill="1" applyBorder="1" applyAlignment="1" applyProtection="1">
      <alignment horizontal="right" vertical="center"/>
      <protection locked="0"/>
    </xf>
    <xf numFmtId="0" fontId="22" fillId="0" borderId="5" xfId="0" applyFont="1" applyBorder="1" applyAlignment="1">
      <alignment horizontal="left" vertical="center" indent="3"/>
    </xf>
    <xf numFmtId="0" fontId="17" fillId="0" borderId="5" xfId="0" applyFont="1" applyBorder="1" applyAlignment="1">
      <alignment horizontal="left" vertical="center" indent="3"/>
    </xf>
    <xf numFmtId="43" fontId="16" fillId="9" borderId="6" xfId="5" applyFont="1" applyFill="1" applyBorder="1" applyAlignment="1" applyProtection="1">
      <alignment horizontal="right" vertical="center"/>
      <protection locked="0"/>
    </xf>
    <xf numFmtId="8" fontId="18" fillId="0" borderId="6" xfId="5" applyNumberFormat="1" applyFont="1" applyFill="1" applyBorder="1" applyAlignment="1" applyProtection="1">
      <alignment horizontal="right" vertical="center"/>
      <protection locked="0"/>
    </xf>
    <xf numFmtId="167" fontId="28" fillId="0" borderId="5" xfId="5" applyNumberFormat="1" applyFont="1" applyBorder="1" applyAlignment="1" applyProtection="1">
      <alignment horizontal="left" indent="1"/>
    </xf>
    <xf numFmtId="168" fontId="28" fillId="0" borderId="6" xfId="7" applyNumberFormat="1" applyFont="1" applyFill="1" applyBorder="1" applyProtection="1"/>
    <xf numFmtId="0" fontId="18" fillId="9" borderId="5" xfId="0" applyFont="1" applyFill="1" applyBorder="1" applyAlignment="1">
      <alignment horizontal="left" vertical="center" indent="2"/>
    </xf>
    <xf numFmtId="167" fontId="28" fillId="0" borderId="5" xfId="5" quotePrefix="1" applyNumberFormat="1" applyFont="1" applyBorder="1" applyAlignment="1" applyProtection="1">
      <alignment horizontal="left" indent="3"/>
    </xf>
    <xf numFmtId="3" fontId="28" fillId="0" borderId="6" xfId="5" applyNumberFormat="1" applyFont="1" applyFill="1" applyBorder="1" applyProtection="1">
      <protection locked="0"/>
    </xf>
    <xf numFmtId="165" fontId="16" fillId="6" borderId="6" xfId="5" applyNumberFormat="1" applyFont="1" applyFill="1" applyBorder="1" applyAlignment="1" applyProtection="1">
      <alignment horizontal="right" vertical="center"/>
    </xf>
    <xf numFmtId="0" fontId="16" fillId="7" borderId="5" xfId="0" applyFont="1" applyFill="1" applyBorder="1" applyAlignment="1">
      <alignment horizontal="left" vertical="center" indent="2"/>
    </xf>
    <xf numFmtId="165" fontId="16" fillId="7" borderId="6" xfId="5" applyNumberFormat="1" applyFont="1" applyFill="1" applyBorder="1" applyAlignment="1" applyProtection="1">
      <alignment horizontal="right" vertical="center"/>
    </xf>
    <xf numFmtId="0" fontId="29" fillId="0" borderId="5" xfId="0" applyFont="1" applyBorder="1" applyAlignment="1">
      <alignment horizontal="left"/>
    </xf>
    <xf numFmtId="165" fontId="18" fillId="0" borderId="6" xfId="5" applyNumberFormat="1" applyFont="1" applyFill="1" applyBorder="1" applyAlignment="1" applyProtection="1">
      <alignment horizontal="right"/>
      <protection locked="0"/>
    </xf>
    <xf numFmtId="0" fontId="8" fillId="9" borderId="5" xfId="0" applyFont="1" applyFill="1" applyBorder="1" applyAlignment="1">
      <alignment horizontal="left" vertical="center"/>
    </xf>
    <xf numFmtId="0" fontId="30" fillId="7" borderId="5" xfId="0" applyFont="1" applyFill="1" applyBorder="1" applyAlignment="1">
      <alignment horizontal="left" vertical="center"/>
    </xf>
    <xf numFmtId="165" fontId="16" fillId="7" borderId="6" xfId="5" applyNumberFormat="1" applyFont="1" applyFill="1" applyBorder="1" applyAlignment="1" applyProtection="1">
      <alignment horizontal="right" vertical="center"/>
      <protection locked="0"/>
    </xf>
    <xf numFmtId="9" fontId="16" fillId="7" borderId="6" xfId="3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horizontal="left" vertical="center"/>
    </xf>
    <xf numFmtId="165" fontId="16" fillId="0" borderId="6" xfId="5" applyNumberFormat="1" applyFont="1" applyFill="1" applyBorder="1" applyAlignment="1" applyProtection="1">
      <alignment horizontal="right" vertical="center"/>
      <protection locked="0"/>
    </xf>
    <xf numFmtId="165" fontId="16" fillId="9" borderId="6" xfId="5" applyNumberFormat="1" applyFont="1" applyFill="1" applyBorder="1" applyAlignment="1" applyProtection="1">
      <alignment horizontal="right" vertical="center"/>
      <protection locked="0"/>
    </xf>
    <xf numFmtId="169" fontId="28" fillId="0" borderId="6" xfId="5" applyNumberFormat="1" applyFont="1" applyFill="1" applyBorder="1" applyProtection="1">
      <protection locked="0"/>
    </xf>
    <xf numFmtId="170" fontId="28" fillId="0" borderId="6" xfId="5" applyNumberFormat="1" applyFont="1" applyFill="1" applyBorder="1" applyProtection="1">
      <protection locked="0"/>
    </xf>
    <xf numFmtId="167" fontId="27" fillId="0" borderId="13" xfId="5" quotePrefix="1" applyNumberFormat="1" applyFont="1" applyFill="1" applyBorder="1" applyAlignment="1" applyProtection="1">
      <alignment vertical="center" wrapText="1"/>
    </xf>
    <xf numFmtId="167" fontId="28" fillId="0" borderId="6" xfId="5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171" fontId="18" fillId="0" borderId="6" xfId="5" applyNumberFormat="1" applyFont="1" applyFill="1" applyBorder="1" applyAlignment="1" applyProtection="1">
      <alignment horizontal="right" vertical="center"/>
      <protection locked="0"/>
    </xf>
    <xf numFmtId="43" fontId="18" fillId="0" borderId="6" xfId="5" applyNumberFormat="1" applyFont="1" applyFill="1" applyBorder="1" applyAlignment="1" applyProtection="1">
      <alignment horizontal="right" vertical="center"/>
      <protection locked="0"/>
    </xf>
    <xf numFmtId="43" fontId="18" fillId="9" borderId="6" xfId="5" applyNumberFormat="1" applyFont="1" applyFill="1" applyBorder="1" applyAlignment="1" applyProtection="1">
      <alignment horizontal="right" vertical="center"/>
      <protection locked="0"/>
    </xf>
    <xf numFmtId="172" fontId="18" fillId="0" borderId="6" xfId="5" applyNumberFormat="1" applyFont="1" applyFill="1" applyBorder="1" applyAlignment="1" applyProtection="1">
      <alignment horizontal="right" vertical="center"/>
      <protection locked="0"/>
    </xf>
    <xf numFmtId="3" fontId="28" fillId="9" borderId="6" xfId="5" applyNumberFormat="1" applyFont="1" applyFill="1" applyBorder="1" applyProtection="1">
      <protection locked="0"/>
    </xf>
    <xf numFmtId="0" fontId="18" fillId="7" borderId="5" xfId="0" applyFont="1" applyFill="1" applyBorder="1" applyAlignment="1">
      <alignment horizontal="left" vertical="center"/>
    </xf>
    <xf numFmtId="165" fontId="18" fillId="7" borderId="6" xfId="5" applyNumberFormat="1" applyFont="1" applyFill="1" applyBorder="1" applyAlignment="1" applyProtection="1">
      <alignment horizontal="right" vertical="center"/>
      <protection locked="0"/>
    </xf>
    <xf numFmtId="1" fontId="18" fillId="0" borderId="6" xfId="8" applyNumberFormat="1" applyFont="1" applyFill="1" applyBorder="1" applyAlignment="1" applyProtection="1">
      <alignment horizontal="right" vertical="center"/>
      <protection locked="0"/>
    </xf>
    <xf numFmtId="0" fontId="19" fillId="0" borderId="5" xfId="0" applyFont="1" applyBorder="1" applyAlignment="1">
      <alignment horizontal="left"/>
    </xf>
    <xf numFmtId="165" fontId="18" fillId="9" borderId="6" xfId="5" applyNumberFormat="1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28" fillId="0" borderId="14" xfId="6" applyFont="1" applyBorder="1"/>
    <xf numFmtId="168" fontId="28" fillId="0" borderId="15" xfId="6" applyNumberFormat="1" applyFont="1" applyBorder="1" applyAlignment="1">
      <alignment horizontal="right"/>
    </xf>
    <xf numFmtId="0" fontId="28" fillId="0" borderId="16" xfId="6" applyFont="1" applyBorder="1"/>
    <xf numFmtId="168" fontId="28" fillId="0" borderId="0" xfId="6" applyNumberFormat="1" applyFont="1"/>
    <xf numFmtId="0" fontId="30" fillId="9" borderId="5" xfId="0" applyFont="1" applyFill="1" applyBorder="1" applyAlignment="1">
      <alignment horizontal="left" vertical="center"/>
    </xf>
    <xf numFmtId="0" fontId="28" fillId="0" borderId="17" xfId="6" applyFont="1" applyBorder="1" applyAlignment="1">
      <alignment horizontal="left" indent="1"/>
    </xf>
    <xf numFmtId="168" fontId="28" fillId="0" borderId="6" xfId="6" applyNumberFormat="1" applyFont="1" applyBorder="1" applyAlignment="1" applyProtection="1">
      <alignment horizontal="right"/>
      <protection locked="0"/>
    </xf>
    <xf numFmtId="168" fontId="28" fillId="0" borderId="18" xfId="6" applyNumberFormat="1" applyFont="1" applyBorder="1" applyAlignment="1" applyProtection="1">
      <alignment horizontal="right"/>
      <protection locked="0"/>
    </xf>
    <xf numFmtId="165" fontId="16" fillId="0" borderId="6" xfId="5" applyNumberFormat="1" applyFont="1" applyFill="1" applyBorder="1" applyAlignment="1" applyProtection="1">
      <alignment horizontal="right" vertical="center"/>
    </xf>
    <xf numFmtId="165" fontId="16" fillId="0" borderId="19" xfId="5" applyNumberFormat="1" applyFont="1" applyFill="1" applyBorder="1" applyAlignment="1" applyProtection="1">
      <alignment horizontal="right" vertical="center"/>
    </xf>
    <xf numFmtId="165" fontId="16" fillId="0" borderId="15" xfId="5" applyNumberFormat="1" applyFont="1" applyFill="1" applyBorder="1" applyAlignment="1" applyProtection="1">
      <alignment horizontal="right" vertical="center"/>
    </xf>
    <xf numFmtId="165" fontId="18" fillId="9" borderId="18" xfId="5" applyNumberFormat="1" applyFont="1" applyFill="1" applyBorder="1" applyAlignment="1" applyProtection="1">
      <alignment horizontal="right" vertical="center"/>
      <protection locked="0"/>
    </xf>
    <xf numFmtId="165" fontId="18" fillId="0" borderId="18" xfId="5" applyNumberFormat="1" applyFont="1" applyFill="1" applyBorder="1" applyAlignment="1" applyProtection="1">
      <alignment horizontal="right" vertical="center"/>
      <protection locked="0"/>
    </xf>
    <xf numFmtId="165" fontId="18" fillId="0" borderId="9" xfId="5" applyNumberFormat="1" applyFont="1" applyFill="1" applyBorder="1" applyAlignment="1" applyProtection="1">
      <alignment horizontal="right" vertical="center"/>
      <protection locked="0"/>
    </xf>
    <xf numFmtId="0" fontId="19" fillId="0" borderId="20" xfId="0" applyFont="1" applyBorder="1" applyAlignment="1">
      <alignment horizontal="left" vertical="center"/>
    </xf>
    <xf numFmtId="165" fontId="18" fillId="0" borderId="21" xfId="5" applyNumberFormat="1" applyFont="1" applyFill="1" applyBorder="1" applyAlignment="1" applyProtection="1">
      <alignment horizontal="right" vertical="center"/>
      <protection locked="0"/>
    </xf>
    <xf numFmtId="165" fontId="18" fillId="9" borderId="22" xfId="5" applyNumberFormat="1" applyFont="1" applyFill="1" applyBorder="1" applyAlignment="1" applyProtection="1">
      <alignment horizontal="right" vertical="center"/>
      <protection locked="0"/>
    </xf>
    <xf numFmtId="165" fontId="18" fillId="0" borderId="23" xfId="5" applyNumberFormat="1" applyFont="1" applyFill="1" applyBorder="1" applyAlignment="1" applyProtection="1">
      <alignment horizontal="right" vertical="center"/>
      <protection locked="0"/>
    </xf>
    <xf numFmtId="8" fontId="28" fillId="0" borderId="0" xfId="6" applyNumberFormat="1" applyFont="1"/>
    <xf numFmtId="0" fontId="28" fillId="0" borderId="0" xfId="6" applyFont="1"/>
    <xf numFmtId="49" fontId="20" fillId="0" borderId="0" xfId="6" applyNumberFormat="1" applyFont="1"/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vertical="center" wrapText="1"/>
    </xf>
    <xf numFmtId="3" fontId="0" fillId="0" borderId="30" xfId="0" applyNumberFormat="1" applyBorder="1" applyAlignment="1">
      <alignment vertical="center"/>
    </xf>
    <xf numFmtId="3" fontId="0" fillId="9" borderId="30" xfId="0" applyNumberFormat="1" applyFill="1" applyBorder="1" applyAlignment="1">
      <alignment vertical="center"/>
    </xf>
    <xf numFmtId="0" fontId="35" fillId="11" borderId="0" xfId="0" applyFont="1" applyFill="1" applyAlignment="1">
      <alignment vertical="center"/>
    </xf>
    <xf numFmtId="0" fontId="36" fillId="0" borderId="31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 wrapText="1"/>
    </xf>
    <xf numFmtId="0" fontId="39" fillId="13" borderId="30" xfId="0" applyFont="1" applyFill="1" applyBorder="1" applyAlignment="1">
      <alignment vertical="center" wrapText="1"/>
    </xf>
    <xf numFmtId="3" fontId="0" fillId="13" borderId="30" xfId="0" applyNumberFormat="1" applyFill="1" applyBorder="1" applyAlignment="1">
      <alignment vertical="center"/>
    </xf>
    <xf numFmtId="3" fontId="0" fillId="13" borderId="33" xfId="0" applyNumberFormat="1" applyFill="1" applyBorder="1" applyAlignment="1">
      <alignment vertical="center"/>
    </xf>
    <xf numFmtId="3" fontId="0" fillId="13" borderId="33" xfId="0" applyNumberFormat="1" applyFill="1" applyBorder="1"/>
    <xf numFmtId="0" fontId="0" fillId="13" borderId="33" xfId="0" applyFill="1" applyBorder="1"/>
    <xf numFmtId="165" fontId="0" fillId="13" borderId="33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9" fontId="0" fillId="0" borderId="33" xfId="3" applyFont="1" applyBorder="1" applyAlignment="1">
      <alignment vertical="center"/>
    </xf>
    <xf numFmtId="10" fontId="0" fillId="0" borderId="33" xfId="3" applyNumberFormat="1" applyFont="1" applyBorder="1" applyAlignment="1">
      <alignment vertical="center"/>
    </xf>
    <xf numFmtId="0" fontId="0" fillId="13" borderId="30" xfId="0" applyFill="1" applyBorder="1" applyAlignment="1">
      <alignment vertical="center" wrapText="1"/>
    </xf>
    <xf numFmtId="9" fontId="0" fillId="13" borderId="33" xfId="3" applyFont="1" applyFill="1" applyBorder="1" applyAlignment="1">
      <alignment vertical="center"/>
    </xf>
    <xf numFmtId="10" fontId="0" fillId="13" borderId="33" xfId="3" applyNumberFormat="1" applyFont="1" applyFill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2" fillId="13" borderId="34" xfId="0" applyFont="1" applyFill="1" applyBorder="1" applyAlignment="1">
      <alignment horizontal="center" vertical="center" wrapText="1"/>
    </xf>
    <xf numFmtId="0" fontId="40" fillId="13" borderId="31" xfId="0" applyFont="1" applyFill="1" applyBorder="1" applyAlignment="1">
      <alignment vertical="center" wrapText="1"/>
    </xf>
    <xf numFmtId="0" fontId="2" fillId="14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vertical="center" wrapText="1"/>
    </xf>
    <xf numFmtId="3" fontId="0" fillId="0" borderId="28" xfId="0" applyNumberFormat="1" applyBorder="1" applyAlignment="1">
      <alignment vertical="center"/>
    </xf>
    <xf numFmtId="0" fontId="2" fillId="14" borderId="32" xfId="0" applyFont="1" applyFill="1" applyBorder="1" applyAlignment="1">
      <alignment horizontal="center" vertical="center" wrapText="1"/>
    </xf>
    <xf numFmtId="0" fontId="39" fillId="14" borderId="30" xfId="0" applyFont="1" applyFill="1" applyBorder="1" applyAlignment="1">
      <alignment vertical="center" wrapText="1"/>
    </xf>
    <xf numFmtId="3" fontId="0" fillId="14" borderId="30" xfId="0" applyNumberFormat="1" applyFill="1" applyBorder="1" applyAlignment="1">
      <alignment vertical="center"/>
    </xf>
    <xf numFmtId="3" fontId="0" fillId="14" borderId="33" xfId="0" applyNumberFormat="1" applyFill="1" applyBorder="1" applyAlignment="1">
      <alignment vertical="center"/>
    </xf>
    <xf numFmtId="3" fontId="0" fillId="2" borderId="33" xfId="0" applyNumberFormat="1" applyFill="1" applyBorder="1"/>
    <xf numFmtId="165" fontId="0" fillId="14" borderId="33" xfId="0" applyNumberFormat="1" applyFill="1" applyBorder="1" applyAlignment="1">
      <alignment vertical="center"/>
    </xf>
    <xf numFmtId="0" fontId="0" fillId="14" borderId="30" xfId="0" applyFill="1" applyBorder="1" applyAlignment="1">
      <alignment vertical="center" wrapText="1"/>
    </xf>
    <xf numFmtId="9" fontId="0" fillId="14" borderId="33" xfId="3" applyFont="1" applyFill="1" applyBorder="1" applyAlignment="1">
      <alignment vertical="center"/>
    </xf>
    <xf numFmtId="10" fontId="0" fillId="14" borderId="33" xfId="3" applyNumberFormat="1" applyFont="1" applyFill="1" applyBorder="1" applyAlignment="1">
      <alignment vertical="center"/>
    </xf>
    <xf numFmtId="0" fontId="2" fillId="14" borderId="34" xfId="0" applyFont="1" applyFill="1" applyBorder="1" applyAlignment="1">
      <alignment horizontal="center" vertical="center" wrapText="1"/>
    </xf>
    <xf numFmtId="0" fontId="40" fillId="14" borderId="31" xfId="0" applyFont="1" applyFill="1" applyBorder="1" applyAlignment="1">
      <alignment vertical="center" wrapText="1"/>
    </xf>
    <xf numFmtId="0" fontId="39" fillId="0" borderId="30" xfId="0" applyFont="1" applyFill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9" borderId="26" xfId="0" applyNumberFormat="1" applyFill="1" applyBorder="1" applyAlignment="1">
      <alignment vertical="center"/>
    </xf>
    <xf numFmtId="165" fontId="0" fillId="9" borderId="26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1" fillId="15" borderId="29" xfId="0" applyFont="1" applyFill="1" applyBorder="1" applyAlignment="1">
      <alignment horizontal="center" vertical="center" wrapText="1"/>
    </xf>
    <xf numFmtId="0" fontId="41" fillId="15" borderId="30" xfId="0" applyFont="1" applyFill="1" applyBorder="1" applyAlignment="1">
      <alignment vertical="center" wrapText="1"/>
    </xf>
    <xf numFmtId="9" fontId="10" fillId="15" borderId="26" xfId="3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1" fillId="15" borderId="32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vertical="center" wrapText="1"/>
    </xf>
    <xf numFmtId="9" fontId="10" fillId="0" borderId="33" xfId="3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1" fillId="15" borderId="34" xfId="0" applyFont="1" applyFill="1" applyBorder="1" applyAlignment="1">
      <alignment horizontal="center" vertical="center" wrapText="1"/>
    </xf>
    <xf numFmtId="0" fontId="41" fillId="15" borderId="31" xfId="0" applyFont="1" applyFill="1" applyBorder="1" applyAlignment="1">
      <alignment vertical="center" wrapText="1"/>
    </xf>
    <xf numFmtId="9" fontId="10" fillId="15" borderId="35" xfId="3" applyFont="1" applyFill="1" applyBorder="1" applyAlignment="1">
      <alignment vertical="center"/>
    </xf>
    <xf numFmtId="0" fontId="2" fillId="16" borderId="29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vertical="center"/>
    </xf>
    <xf numFmtId="43" fontId="0" fillId="16" borderId="28" xfId="0" applyNumberFormat="1" applyFont="1" applyFill="1" applyBorder="1" applyAlignment="1">
      <alignment vertical="center"/>
    </xf>
    <xf numFmtId="0" fontId="2" fillId="16" borderId="32" xfId="0" applyFont="1" applyFill="1" applyBorder="1" applyAlignment="1">
      <alignment horizontal="center" vertical="center" wrapText="1"/>
    </xf>
    <xf numFmtId="0" fontId="39" fillId="9" borderId="32" xfId="0" applyFont="1" applyFill="1" applyBorder="1" applyAlignment="1">
      <alignment vertical="center"/>
    </xf>
    <xf numFmtId="0" fontId="2" fillId="9" borderId="30" xfId="0" applyFont="1" applyFill="1" applyBorder="1" applyAlignment="1">
      <alignment vertical="center"/>
    </xf>
    <xf numFmtId="0" fontId="2" fillId="9" borderId="32" xfId="0" applyFont="1" applyFill="1" applyBorder="1" applyAlignment="1">
      <alignment vertical="center"/>
    </xf>
    <xf numFmtId="0" fontId="2" fillId="16" borderId="32" xfId="0" applyFont="1" applyFill="1" applyBorder="1" applyAlignment="1">
      <alignment vertical="center"/>
    </xf>
    <xf numFmtId="9" fontId="0" fillId="16" borderId="30" xfId="3" applyFont="1" applyFill="1" applyBorder="1" applyAlignment="1">
      <alignment vertical="center"/>
    </xf>
    <xf numFmtId="9" fontId="0" fillId="9" borderId="30" xfId="3" applyFont="1" applyFill="1" applyBorder="1" applyAlignment="1">
      <alignment vertical="center"/>
    </xf>
    <xf numFmtId="0" fontId="2" fillId="16" borderId="30" xfId="0" applyFont="1" applyFill="1" applyBorder="1" applyAlignment="1">
      <alignment vertical="center"/>
    </xf>
    <xf numFmtId="0" fontId="2" fillId="9" borderId="31" xfId="0" applyFont="1" applyFill="1" applyBorder="1" applyAlignment="1">
      <alignment vertical="center"/>
    </xf>
    <xf numFmtId="0" fontId="39" fillId="16" borderId="29" xfId="0" applyFont="1" applyFill="1" applyBorder="1" applyAlignment="1">
      <alignment vertical="center"/>
    </xf>
    <xf numFmtId="0" fontId="2" fillId="16" borderId="29" xfId="0" applyFont="1" applyFill="1" applyBorder="1" applyAlignment="1">
      <alignment vertical="center"/>
    </xf>
    <xf numFmtId="0" fontId="2" fillId="16" borderId="28" xfId="0" applyFont="1" applyFill="1" applyBorder="1" applyAlignment="1">
      <alignment vertical="center"/>
    </xf>
    <xf numFmtId="0" fontId="0" fillId="16" borderId="30" xfId="0" applyFont="1" applyFill="1" applyBorder="1" applyAlignment="1">
      <alignment vertical="center"/>
    </xf>
    <xf numFmtId="0" fontId="2" fillId="9" borderId="34" xfId="0" applyFont="1" applyFill="1" applyBorder="1" applyAlignment="1">
      <alignment vertical="center"/>
    </xf>
    <xf numFmtId="9" fontId="10" fillId="15" borderId="33" xfId="3" applyFont="1" applyFill="1" applyBorder="1" applyAlignment="1">
      <alignment vertical="center"/>
    </xf>
    <xf numFmtId="0" fontId="42" fillId="0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39" fillId="2" borderId="30" xfId="0" applyFont="1" applyFill="1" applyBorder="1" applyAlignment="1">
      <alignment vertical="center" wrapText="1"/>
    </xf>
    <xf numFmtId="3" fontId="0" fillId="2" borderId="30" xfId="0" applyNumberFormat="1" applyFill="1" applyBorder="1" applyAlignment="1">
      <alignment vertical="center"/>
    </xf>
    <xf numFmtId="3" fontId="0" fillId="2" borderId="33" xfId="0" applyNumberFormat="1" applyFill="1" applyBorder="1" applyAlignment="1">
      <alignment vertical="center"/>
    </xf>
    <xf numFmtId="173" fontId="0" fillId="2" borderId="33" xfId="0" applyNumberForma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vertical="center" wrapText="1"/>
    </xf>
    <xf numFmtId="3" fontId="0" fillId="0" borderId="28" xfId="0" applyNumberFormat="1" applyBorder="1"/>
    <xf numFmtId="0" fontId="39" fillId="0" borderId="32" xfId="0" applyFont="1" applyFill="1" applyBorder="1" applyAlignment="1">
      <alignment vertical="center" wrapText="1"/>
    </xf>
    <xf numFmtId="3" fontId="0" fillId="0" borderId="26" xfId="0" applyNumberFormat="1" applyBorder="1"/>
    <xf numFmtId="3" fontId="0" fillId="0" borderId="26" xfId="1" applyNumberFormat="1" applyFont="1" applyBorder="1" applyAlignment="1">
      <alignment vertical="center"/>
    </xf>
    <xf numFmtId="173" fontId="0" fillId="0" borderId="26" xfId="0" applyNumberFormat="1" applyBorder="1" applyAlignment="1">
      <alignment vertical="center"/>
    </xf>
    <xf numFmtId="0" fontId="39" fillId="16" borderId="32" xfId="0" applyFont="1" applyFill="1" applyBorder="1" applyAlignment="1">
      <alignment vertical="center" wrapText="1"/>
    </xf>
    <xf numFmtId="3" fontId="0" fillId="16" borderId="30" xfId="0" applyNumberFormat="1" applyFill="1" applyBorder="1"/>
    <xf numFmtId="3" fontId="0" fillId="16" borderId="33" xfId="0" applyNumberFormat="1" applyFill="1" applyBorder="1"/>
    <xf numFmtId="3" fontId="0" fillId="16" borderId="33" xfId="0" applyNumberFormat="1" applyFill="1" applyBorder="1" applyAlignment="1">
      <alignment vertical="center"/>
    </xf>
    <xf numFmtId="173" fontId="0" fillId="16" borderId="33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9" fontId="0" fillId="0" borderId="30" xfId="3" applyFont="1" applyBorder="1" applyAlignment="1">
      <alignment vertical="center"/>
    </xf>
    <xf numFmtId="0" fontId="0" fillId="16" borderId="32" xfId="0" applyFill="1" applyBorder="1" applyAlignment="1">
      <alignment vertical="center" wrapText="1"/>
    </xf>
    <xf numFmtId="9" fontId="0" fillId="16" borderId="33" xfId="3" applyFont="1" applyFill="1" applyBorder="1" applyAlignment="1">
      <alignment vertical="center"/>
    </xf>
    <xf numFmtId="10" fontId="0" fillId="16" borderId="33" xfId="3" applyNumberFormat="1" applyFont="1" applyFill="1" applyBorder="1" applyAlignment="1">
      <alignment vertical="center"/>
    </xf>
    <xf numFmtId="0" fontId="2" fillId="16" borderId="34" xfId="0" applyFont="1" applyFill="1" applyBorder="1" applyAlignment="1">
      <alignment horizontal="center" vertical="center" wrapText="1"/>
    </xf>
    <xf numFmtId="0" fontId="0" fillId="16" borderId="34" xfId="0" applyFill="1" applyBorder="1" applyAlignment="1">
      <alignment vertical="center" wrapText="1"/>
    </xf>
    <xf numFmtId="3" fontId="0" fillId="16" borderId="30" xfId="0" applyNumberFormat="1" applyFill="1" applyBorder="1" applyAlignment="1">
      <alignment vertical="center"/>
    </xf>
    <xf numFmtId="0" fontId="38" fillId="0" borderId="32" xfId="0" applyFont="1" applyFill="1" applyBorder="1" applyAlignment="1">
      <alignment vertical="center" wrapText="1"/>
    </xf>
    <xf numFmtId="0" fontId="2" fillId="15" borderId="29" xfId="0" applyFont="1" applyFill="1" applyBorder="1" applyAlignment="1">
      <alignment horizontal="center" vertical="center" wrapText="1"/>
    </xf>
    <xf numFmtId="0" fontId="38" fillId="15" borderId="32" xfId="0" applyFont="1" applyFill="1" applyBorder="1" applyAlignment="1">
      <alignment vertical="center" wrapText="1"/>
    </xf>
    <xf numFmtId="9" fontId="2" fillId="15" borderId="28" xfId="3" applyFont="1" applyFill="1" applyBorder="1" applyAlignment="1">
      <alignment vertical="center"/>
    </xf>
    <xf numFmtId="0" fontId="2" fillId="15" borderId="32" xfId="0" applyFont="1" applyFill="1" applyBorder="1" applyAlignment="1">
      <alignment horizontal="center" vertical="center" wrapText="1"/>
    </xf>
    <xf numFmtId="9" fontId="2" fillId="0" borderId="30" xfId="3" applyFont="1" applyFill="1" applyBorder="1" applyAlignment="1">
      <alignment vertical="center"/>
    </xf>
    <xf numFmtId="0" fontId="2" fillId="15" borderId="34" xfId="0" applyFont="1" applyFill="1" applyBorder="1" applyAlignment="1">
      <alignment horizontal="center" vertical="center" wrapText="1"/>
    </xf>
    <xf numFmtId="0" fontId="38" fillId="15" borderId="34" xfId="0" applyFont="1" applyFill="1" applyBorder="1" applyAlignment="1">
      <alignment vertical="center" wrapText="1"/>
    </xf>
    <xf numFmtId="9" fontId="2" fillId="15" borderId="31" xfId="3" applyFont="1" applyFill="1" applyBorder="1" applyAlignment="1">
      <alignment vertical="center"/>
    </xf>
    <xf numFmtId="0" fontId="2" fillId="15" borderId="28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0" fontId="39" fillId="17" borderId="37" xfId="0" applyFont="1" applyFill="1" applyBorder="1" applyAlignment="1">
      <alignment horizontal="center" vertical="center" wrapText="1"/>
    </xf>
    <xf numFmtId="165" fontId="2" fillId="18" borderId="30" xfId="1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2" fillId="18" borderId="38" xfId="0" applyFont="1" applyFill="1" applyBorder="1" applyAlignment="1">
      <alignment horizontal="center" vertical="center" wrapText="1"/>
    </xf>
    <xf numFmtId="0" fontId="38" fillId="18" borderId="30" xfId="0" applyFont="1" applyFill="1" applyBorder="1" applyAlignment="1">
      <alignment vertical="center" wrapText="1"/>
    </xf>
    <xf numFmtId="0" fontId="2" fillId="18" borderId="39" xfId="0" applyFont="1" applyFill="1" applyBorder="1" applyAlignment="1">
      <alignment horizontal="center" vertical="center" wrapText="1"/>
    </xf>
    <xf numFmtId="0" fontId="38" fillId="18" borderId="39" xfId="0" applyFont="1" applyFill="1" applyBorder="1" applyAlignment="1">
      <alignment vertical="center" wrapText="1"/>
    </xf>
    <xf numFmtId="165" fontId="2" fillId="18" borderId="39" xfId="1" applyNumberFormat="1" applyFont="1" applyFill="1" applyBorder="1" applyAlignment="1">
      <alignment vertical="center"/>
    </xf>
    <xf numFmtId="165" fontId="2" fillId="18" borderId="40" xfId="1" applyNumberFormat="1" applyFont="1" applyFill="1" applyBorder="1" applyAlignment="1">
      <alignment vertical="center"/>
    </xf>
    <xf numFmtId="0" fontId="38" fillId="18" borderId="38" xfId="0" applyFont="1" applyFill="1" applyBorder="1" applyAlignment="1">
      <alignment vertical="center" wrapText="1"/>
    </xf>
    <xf numFmtId="165" fontId="2" fillId="18" borderId="38" xfId="1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165" fontId="2" fillId="18" borderId="39" xfId="1" applyNumberFormat="1" applyFont="1" applyFill="1" applyBorder="1" applyAlignment="1">
      <alignment horizontal="center" vertical="center"/>
    </xf>
    <xf numFmtId="0" fontId="39" fillId="13" borderId="41" xfId="0" applyFont="1" applyFill="1" applyBorder="1"/>
    <xf numFmtId="167" fontId="10" fillId="13" borderId="28" xfId="1" applyNumberFormat="1" applyFont="1" applyFill="1" applyBorder="1"/>
    <xf numFmtId="167" fontId="10" fillId="13" borderId="41" xfId="1" applyNumberFormat="1" applyFont="1" applyFill="1" applyBorder="1"/>
    <xf numFmtId="0" fontId="39" fillId="19" borderId="0" xfId="0" applyFont="1" applyFill="1"/>
    <xf numFmtId="167" fontId="10" fillId="15" borderId="30" xfId="1" applyNumberFormat="1" applyFont="1" applyFill="1" applyBorder="1"/>
    <xf numFmtId="167" fontId="10" fillId="15" borderId="0" xfId="1" applyNumberFormat="1" applyFont="1" applyFill="1"/>
    <xf numFmtId="0" fontId="39" fillId="13" borderId="0" xfId="0" applyFont="1" applyFill="1"/>
    <xf numFmtId="167" fontId="10" fillId="13" borderId="30" xfId="1" applyNumberFormat="1" applyFont="1" applyFill="1" applyBorder="1"/>
    <xf numFmtId="167" fontId="10" fillId="13" borderId="0" xfId="1" applyNumberFormat="1" applyFont="1" applyFill="1"/>
    <xf numFmtId="167" fontId="43" fillId="13" borderId="30" xfId="1" applyNumberFormat="1" applyFont="1" applyFill="1" applyBorder="1"/>
    <xf numFmtId="0" fontId="2" fillId="19" borderId="29" xfId="0" applyFont="1" applyFill="1" applyBorder="1"/>
    <xf numFmtId="167" fontId="10" fillId="15" borderId="28" xfId="1" applyNumberFormat="1" applyFont="1" applyFill="1" applyBorder="1"/>
    <xf numFmtId="167" fontId="0" fillId="0" borderId="0" xfId="1" applyNumberFormat="1" applyFont="1" applyAlignment="1">
      <alignment vertical="center"/>
    </xf>
    <xf numFmtId="0" fontId="39" fillId="15" borderId="32" xfId="0" applyFont="1" applyFill="1" applyBorder="1" applyAlignment="1">
      <alignment vertical="center" wrapText="1"/>
    </xf>
    <xf numFmtId="167" fontId="10" fillId="15" borderId="32" xfId="1" applyNumberFormat="1" applyFont="1" applyFill="1" applyBorder="1"/>
    <xf numFmtId="0" fontId="39" fillId="13" borderId="32" xfId="0" applyFont="1" applyFill="1" applyBorder="1" applyAlignment="1">
      <alignment vertical="center" wrapText="1"/>
    </xf>
    <xf numFmtId="167" fontId="10" fillId="13" borderId="32" xfId="1" applyNumberFormat="1" applyFont="1" applyFill="1" applyBorder="1"/>
    <xf numFmtId="0" fontId="39" fillId="19" borderId="34" xfId="0" applyFont="1" applyFill="1" applyBorder="1" applyAlignment="1">
      <alignment vertical="center"/>
    </xf>
    <xf numFmtId="167" fontId="10" fillId="19" borderId="31" xfId="1" applyNumberFormat="1" applyFont="1" applyFill="1" applyBorder="1"/>
    <xf numFmtId="167" fontId="10" fillId="19" borderId="34" xfId="1" applyNumberFormat="1" applyFont="1" applyFill="1" applyBorder="1"/>
    <xf numFmtId="167" fontId="44" fillId="19" borderId="31" xfId="1" applyNumberFormat="1" applyFont="1" applyFill="1" applyBorder="1"/>
    <xf numFmtId="167" fontId="44" fillId="19" borderId="34" xfId="1" applyNumberFormat="1" applyFont="1" applyFill="1" applyBorder="1"/>
    <xf numFmtId="0" fontId="36" fillId="5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vertical="center" wrapText="1"/>
    </xf>
    <xf numFmtId="3" fontId="0" fillId="0" borderId="44" xfId="0" applyNumberFormat="1" applyBorder="1" applyAlignment="1">
      <alignment vertical="center"/>
    </xf>
    <xf numFmtId="3" fontId="0" fillId="9" borderId="44" xfId="0" applyNumberFormat="1" applyFill="1" applyBorder="1" applyAlignment="1">
      <alignment vertical="center"/>
    </xf>
    <xf numFmtId="0" fontId="36" fillId="5" borderId="45" xfId="0" applyFont="1" applyFill="1" applyBorder="1" applyAlignment="1">
      <alignment horizontal="center" vertical="center"/>
    </xf>
    <xf numFmtId="0" fontId="39" fillId="2" borderId="32" xfId="0" applyFont="1" applyFill="1" applyBorder="1" applyAlignment="1">
      <alignment vertical="center" wrapText="1"/>
    </xf>
    <xf numFmtId="165" fontId="0" fillId="2" borderId="33" xfId="0" applyNumberFormat="1" applyFill="1" applyBorder="1" applyAlignment="1">
      <alignment vertical="center"/>
    </xf>
    <xf numFmtId="3" fontId="0" fillId="2" borderId="46" xfId="0" applyNumberFormat="1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9" fontId="0" fillId="0" borderId="46" xfId="3" applyFont="1" applyBorder="1" applyAlignment="1">
      <alignment vertical="center"/>
    </xf>
    <xf numFmtId="0" fontId="0" fillId="2" borderId="32" xfId="0" applyFill="1" applyBorder="1" applyAlignment="1">
      <alignment vertical="center" wrapText="1"/>
    </xf>
    <xf numFmtId="9" fontId="0" fillId="2" borderId="30" xfId="3" applyFont="1" applyFill="1" applyBorder="1" applyAlignment="1">
      <alignment vertical="center"/>
    </xf>
    <xf numFmtId="9" fontId="0" fillId="2" borderId="33" xfId="3" applyFont="1" applyFill="1" applyBorder="1" applyAlignment="1">
      <alignment vertical="center"/>
    </xf>
    <xf numFmtId="10" fontId="0" fillId="2" borderId="33" xfId="3" applyNumberFormat="1" applyFont="1" applyFill="1" applyBorder="1" applyAlignment="1">
      <alignment vertical="center"/>
    </xf>
    <xf numFmtId="9" fontId="0" fillId="2" borderId="46" xfId="3" applyFont="1" applyFill="1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2" borderId="34" xfId="0" applyFill="1" applyBorder="1" applyAlignment="1">
      <alignment vertical="center" wrapText="1"/>
    </xf>
    <xf numFmtId="3" fontId="0" fillId="2" borderId="31" xfId="0" applyNumberFormat="1" applyFill="1" applyBorder="1" applyAlignment="1">
      <alignment vertical="center"/>
    </xf>
    <xf numFmtId="0" fontId="36" fillId="5" borderId="48" xfId="0" applyFont="1" applyFill="1" applyBorder="1" applyAlignment="1">
      <alignment horizontal="center" vertical="center"/>
    </xf>
    <xf numFmtId="3" fontId="0" fillId="9" borderId="28" xfId="0" applyNumberFormat="1" applyFill="1" applyBorder="1"/>
    <xf numFmtId="3" fontId="0" fillId="13" borderId="30" xfId="0" applyNumberFormat="1" applyFill="1" applyBorder="1"/>
    <xf numFmtId="0" fontId="0" fillId="13" borderId="33" xfId="0" applyFill="1" applyBorder="1" applyAlignment="1">
      <alignment vertical="center"/>
    </xf>
    <xf numFmtId="3" fontId="0" fillId="13" borderId="46" xfId="0" applyNumberFormat="1" applyFill="1" applyBorder="1" applyAlignment="1">
      <alignment vertical="center"/>
    </xf>
    <xf numFmtId="0" fontId="0" fillId="13" borderId="32" xfId="0" applyFill="1" applyBorder="1" applyAlignment="1">
      <alignment vertical="center" wrapText="1"/>
    </xf>
    <xf numFmtId="9" fontId="0" fillId="13" borderId="30" xfId="3" applyFont="1" applyFill="1" applyBorder="1" applyAlignment="1">
      <alignment vertical="center"/>
    </xf>
    <xf numFmtId="9" fontId="0" fillId="13" borderId="46" xfId="3" applyFont="1" applyFill="1" applyBorder="1" applyAlignment="1">
      <alignment vertical="center"/>
    </xf>
    <xf numFmtId="0" fontId="0" fillId="13" borderId="34" xfId="0" applyFill="1" applyBorder="1" applyAlignment="1">
      <alignment vertical="center" wrapText="1"/>
    </xf>
    <xf numFmtId="3" fontId="0" fillId="13" borderId="31" xfId="0" applyNumberFormat="1" applyFill="1" applyBorder="1" applyAlignment="1">
      <alignment vertical="center"/>
    </xf>
    <xf numFmtId="3" fontId="0" fillId="13" borderId="35" xfId="0" applyNumberFormat="1" applyFill="1" applyBorder="1" applyAlignment="1">
      <alignment vertical="center"/>
    </xf>
    <xf numFmtId="3" fontId="0" fillId="13" borderId="49" xfId="0" applyNumberFormat="1" applyFill="1" applyBorder="1" applyAlignment="1">
      <alignment vertical="center"/>
    </xf>
    <xf numFmtId="0" fontId="0" fillId="0" borderId="28" xfId="0" applyBorder="1"/>
    <xf numFmtId="0" fontId="0" fillId="0" borderId="26" xfId="0" applyBorder="1"/>
    <xf numFmtId="0" fontId="0" fillId="0" borderId="26" xfId="0" applyBorder="1" applyAlignment="1">
      <alignment vertical="center"/>
    </xf>
    <xf numFmtId="165" fontId="0" fillId="0" borderId="26" xfId="0" applyNumberFormat="1" applyBorder="1" applyAlignment="1">
      <alignment vertical="center"/>
    </xf>
    <xf numFmtId="3" fontId="0" fillId="9" borderId="50" xfId="0" applyNumberFormat="1" applyFill="1" applyBorder="1" applyAlignment="1">
      <alignment vertical="center"/>
    </xf>
    <xf numFmtId="0" fontId="39" fillId="14" borderId="32" xfId="0" applyFont="1" applyFill="1" applyBorder="1" applyAlignment="1">
      <alignment vertical="center" wrapText="1"/>
    </xf>
    <xf numFmtId="0" fontId="0" fillId="14" borderId="30" xfId="0" applyFill="1" applyBorder="1"/>
    <xf numFmtId="0" fontId="0" fillId="14" borderId="33" xfId="0" applyFill="1" applyBorder="1"/>
    <xf numFmtId="0" fontId="0" fillId="14" borderId="33" xfId="0" applyFill="1" applyBorder="1" applyAlignment="1">
      <alignment vertical="center"/>
    </xf>
    <xf numFmtId="3" fontId="0" fillId="14" borderId="46" xfId="0" applyNumberFormat="1" applyFill="1" applyBorder="1" applyAlignment="1">
      <alignment vertical="center"/>
    </xf>
    <xf numFmtId="0" fontId="0" fillId="14" borderId="32" xfId="0" applyFill="1" applyBorder="1" applyAlignment="1">
      <alignment vertical="center" wrapText="1"/>
    </xf>
    <xf numFmtId="9" fontId="0" fillId="14" borderId="30" xfId="3" applyFont="1" applyFill="1" applyBorder="1" applyAlignment="1">
      <alignment vertical="center"/>
    </xf>
    <xf numFmtId="9" fontId="0" fillId="14" borderId="46" xfId="3" applyFont="1" applyFill="1" applyBorder="1" applyAlignment="1">
      <alignment vertical="center"/>
    </xf>
    <xf numFmtId="0" fontId="0" fillId="14" borderId="34" xfId="0" applyFill="1" applyBorder="1" applyAlignment="1">
      <alignment vertical="center" wrapText="1"/>
    </xf>
    <xf numFmtId="0" fontId="42" fillId="5" borderId="48" xfId="0" applyFont="1" applyFill="1" applyBorder="1" applyAlignment="1">
      <alignment horizontal="center" vertical="center"/>
    </xf>
    <xf numFmtId="0" fontId="42" fillId="5" borderId="45" xfId="0" applyFont="1" applyFill="1" applyBorder="1" applyAlignment="1">
      <alignment horizontal="center" vertical="center"/>
    </xf>
    <xf numFmtId="0" fontId="0" fillId="16" borderId="33" xfId="0" applyFill="1" applyBorder="1" applyAlignment="1">
      <alignment vertical="center"/>
    </xf>
    <xf numFmtId="3" fontId="0" fillId="16" borderId="46" xfId="0" applyNumberFormat="1" applyFill="1" applyBorder="1" applyAlignment="1">
      <alignment vertical="center"/>
    </xf>
    <xf numFmtId="9" fontId="0" fillId="16" borderId="46" xfId="3" applyFont="1" applyFill="1" applyBorder="1" applyAlignment="1">
      <alignment vertical="center"/>
    </xf>
    <xf numFmtId="3" fontId="0" fillId="16" borderId="31" xfId="0" applyNumberFormat="1" applyFill="1" applyBorder="1" applyAlignment="1">
      <alignment vertical="center"/>
    </xf>
    <xf numFmtId="3" fontId="0" fillId="16" borderId="35" xfId="0" applyNumberFormat="1" applyFill="1" applyBorder="1" applyAlignment="1">
      <alignment vertical="center"/>
    </xf>
    <xf numFmtId="3" fontId="0" fillId="16" borderId="49" xfId="0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0" borderId="30" xfId="3" applyNumberFormat="1" applyFont="1" applyBorder="1" applyAlignment="1">
      <alignment vertical="center"/>
    </xf>
    <xf numFmtId="0" fontId="0" fillId="0" borderId="33" xfId="3" applyNumberFormat="1" applyFont="1" applyBorder="1" applyAlignment="1">
      <alignment vertical="center"/>
    </xf>
    <xf numFmtId="0" fontId="0" fillId="2" borderId="30" xfId="3" applyNumberFormat="1" applyFont="1" applyFill="1" applyBorder="1" applyAlignment="1">
      <alignment vertical="center"/>
    </xf>
    <xf numFmtId="0" fontId="0" fillId="2" borderId="33" xfId="3" applyNumberFormat="1" applyFon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3" fontId="0" fillId="2" borderId="49" xfId="0" applyNumberFormat="1" applyFill="1" applyBorder="1" applyAlignment="1">
      <alignment vertical="center"/>
    </xf>
    <xf numFmtId="0" fontId="0" fillId="2" borderId="30" xfId="0" applyFill="1" applyBorder="1"/>
    <xf numFmtId="0" fontId="0" fillId="2" borderId="33" xfId="0" applyFill="1" applyBorder="1"/>
    <xf numFmtId="3" fontId="0" fillId="14" borderId="31" xfId="0" applyNumberFormat="1" applyFill="1" applyBorder="1" applyAlignment="1">
      <alignment vertical="center"/>
    </xf>
    <xf numFmtId="3" fontId="0" fillId="14" borderId="35" xfId="0" applyNumberFormat="1" applyFill="1" applyBorder="1" applyAlignment="1">
      <alignment vertical="center"/>
    </xf>
    <xf numFmtId="3" fontId="0" fillId="14" borderId="49" xfId="0" applyNumberFormat="1" applyFill="1" applyBorder="1" applyAlignment="1">
      <alignment vertical="center"/>
    </xf>
    <xf numFmtId="0" fontId="2" fillId="15" borderId="26" xfId="0" applyFont="1" applyFill="1" applyBorder="1" applyAlignment="1">
      <alignment vertical="center" wrapText="1"/>
    </xf>
    <xf numFmtId="9" fontId="2" fillId="15" borderId="26" xfId="3" applyFont="1" applyFill="1" applyBorder="1" applyAlignment="1">
      <alignment vertical="center"/>
    </xf>
    <xf numFmtId="0" fontId="2" fillId="9" borderId="33" xfId="0" applyFont="1" applyFill="1" applyBorder="1" applyAlignment="1">
      <alignment vertical="center" wrapText="1"/>
    </xf>
    <xf numFmtId="9" fontId="2" fillId="9" borderId="33" xfId="3" applyFont="1" applyFill="1" applyBorder="1" applyAlignment="1">
      <alignment vertical="center"/>
    </xf>
    <xf numFmtId="0" fontId="0" fillId="5" borderId="51" xfId="0" applyFill="1" applyBorder="1" applyAlignment="1">
      <alignment vertical="center"/>
    </xf>
    <xf numFmtId="0" fontId="2" fillId="15" borderId="52" xfId="0" applyFont="1" applyFill="1" applyBorder="1" applyAlignment="1">
      <alignment horizontal="center" vertical="center" wrapText="1"/>
    </xf>
    <xf numFmtId="0" fontId="2" fillId="15" borderId="53" xfId="0" applyFont="1" applyFill="1" applyBorder="1" applyAlignment="1">
      <alignment vertical="center" wrapText="1"/>
    </xf>
    <xf numFmtId="9" fontId="2" fillId="15" borderId="53" xfId="3" applyFont="1" applyFill="1" applyBorder="1" applyAlignment="1">
      <alignment vertical="center"/>
    </xf>
    <xf numFmtId="0" fontId="42" fillId="0" borderId="30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 wrapText="1"/>
    </xf>
    <xf numFmtId="165" fontId="0" fillId="0" borderId="30" xfId="1" applyNumberFormat="1" applyFont="1" applyBorder="1" applyAlignment="1">
      <alignment vertical="center"/>
    </xf>
    <xf numFmtId="165" fontId="0" fillId="0" borderId="33" xfId="1" applyNumberFormat="1" applyFont="1" applyBorder="1" applyAlignment="1">
      <alignment vertical="center"/>
    </xf>
    <xf numFmtId="2" fontId="0" fillId="16" borderId="30" xfId="0" applyNumberFormat="1" applyFill="1" applyBorder="1" applyAlignment="1">
      <alignment vertical="center"/>
    </xf>
    <xf numFmtId="174" fontId="0" fillId="16" borderId="30" xfId="2" applyNumberFormat="1" applyFont="1" applyFill="1" applyBorder="1" applyAlignment="1">
      <alignment vertical="center"/>
    </xf>
    <xf numFmtId="174" fontId="0" fillId="16" borderId="30" xfId="0" applyNumberFormat="1" applyFill="1" applyBorder="1" applyAlignment="1">
      <alignment vertical="center"/>
    </xf>
    <xf numFmtId="2" fontId="0" fillId="0" borderId="30" xfId="0" applyNumberFormat="1" applyBorder="1" applyAlignment="1">
      <alignment vertical="center"/>
    </xf>
    <xf numFmtId="174" fontId="0" fillId="0" borderId="30" xfId="2" applyNumberFormat="1" applyFon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0" fontId="45" fillId="0" borderId="28" xfId="0" applyFont="1" applyFill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 wrapText="1"/>
    </xf>
    <xf numFmtId="0" fontId="38" fillId="16" borderId="32" xfId="0" applyFont="1" applyFill="1" applyBorder="1" applyAlignment="1">
      <alignment vertical="center" wrapText="1"/>
    </xf>
    <xf numFmtId="0" fontId="45" fillId="0" borderId="30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vertical="center" wrapText="1"/>
    </xf>
    <xf numFmtId="4" fontId="0" fillId="16" borderId="30" xfId="0" applyNumberFormat="1" applyFill="1" applyBorder="1" applyAlignment="1">
      <alignment vertical="center"/>
    </xf>
    <xf numFmtId="0" fontId="45" fillId="0" borderId="31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 wrapText="1"/>
    </xf>
    <xf numFmtId="0" fontId="38" fillId="9" borderId="34" xfId="0" applyFont="1" applyFill="1" applyBorder="1" applyAlignment="1">
      <alignment vertical="center" wrapText="1"/>
    </xf>
    <xf numFmtId="175" fontId="0" fillId="9" borderId="31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textRotation="255" wrapText="1"/>
    </xf>
    <xf numFmtId="0" fontId="38" fillId="2" borderId="3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textRotation="255" wrapText="1"/>
    </xf>
    <xf numFmtId="0" fontId="45" fillId="15" borderId="28" xfId="0" applyFont="1" applyFill="1" applyBorder="1" applyAlignment="1">
      <alignment vertical="center" wrapText="1"/>
    </xf>
    <xf numFmtId="9" fontId="45" fillId="15" borderId="28" xfId="3" applyFont="1" applyFill="1" applyBorder="1" applyAlignment="1">
      <alignment vertical="center"/>
    </xf>
    <xf numFmtId="9" fontId="45" fillId="15" borderId="26" xfId="3" applyFon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0" fontId="2" fillId="2" borderId="31" xfId="0" applyFont="1" applyFill="1" applyBorder="1" applyAlignment="1">
      <alignment vertical="center" wrapText="1"/>
    </xf>
    <xf numFmtId="0" fontId="38" fillId="2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0" fillId="0" borderId="30" xfId="3" applyNumberFormat="1" applyFont="1" applyBorder="1" applyAlignment="1">
      <alignment vertical="center"/>
    </xf>
    <xf numFmtId="0" fontId="46" fillId="14" borderId="0" xfId="0" applyFont="1" applyFill="1" applyBorder="1" applyAlignment="1">
      <alignment vertical="center"/>
    </xf>
    <xf numFmtId="3" fontId="45" fillId="14" borderId="30" xfId="0" applyNumberFormat="1" applyFont="1" applyFill="1" applyBorder="1" applyAlignment="1">
      <alignment vertical="center"/>
    </xf>
    <xf numFmtId="0" fontId="47" fillId="11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14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54" xfId="0" applyFont="1" applyFill="1" applyBorder="1" applyAlignment="1">
      <alignment vertical="center" wrapText="1"/>
    </xf>
    <xf numFmtId="9" fontId="0" fillId="14" borderId="31" xfId="3" applyFont="1" applyFill="1" applyBorder="1" applyAlignment="1">
      <alignment vertical="center"/>
    </xf>
    <xf numFmtId="0" fontId="38" fillId="14" borderId="0" xfId="0" applyFont="1" applyFill="1" applyBorder="1" applyAlignment="1">
      <alignment vertical="center" wrapText="1"/>
    </xf>
    <xf numFmtId="167" fontId="0" fillId="14" borderId="30" xfId="1" applyNumberFormat="1" applyFont="1" applyFill="1" applyBorder="1" applyAlignment="1">
      <alignment vertical="center"/>
    </xf>
    <xf numFmtId="0" fontId="39" fillId="9" borderId="0" xfId="0" applyFont="1" applyFill="1" applyBorder="1" applyAlignment="1">
      <alignment vertical="center" wrapText="1"/>
    </xf>
    <xf numFmtId="0" fontId="0" fillId="9" borderId="30" xfId="3" applyNumberFormat="1" applyFont="1" applyFill="1" applyBorder="1" applyAlignment="1">
      <alignment vertical="center"/>
    </xf>
    <xf numFmtId="0" fontId="0" fillId="9" borderId="33" xfId="3" applyNumberFormat="1" applyFont="1" applyFill="1" applyBorder="1" applyAlignment="1">
      <alignment vertical="center"/>
    </xf>
    <xf numFmtId="0" fontId="0" fillId="14" borderId="34" xfId="0" applyFont="1" applyFill="1" applyBorder="1" applyAlignment="1">
      <alignment vertical="center" wrapText="1"/>
    </xf>
    <xf numFmtId="0" fontId="38" fillId="9" borderId="0" xfId="0" applyFont="1" applyFill="1" applyBorder="1" applyAlignment="1">
      <alignment vertical="center" wrapText="1"/>
    </xf>
    <xf numFmtId="167" fontId="0" fillId="9" borderId="30" xfId="1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 textRotation="255" wrapText="1"/>
    </xf>
    <xf numFmtId="0" fontId="39" fillId="14" borderId="34" xfId="0" applyFont="1" applyFill="1" applyBorder="1" applyAlignment="1">
      <alignment vertical="center" wrapText="1"/>
    </xf>
    <xf numFmtId="9" fontId="0" fillId="14" borderId="35" xfId="3" applyFont="1" applyFill="1" applyBorder="1" applyAlignment="1">
      <alignment vertical="center"/>
    </xf>
    <xf numFmtId="0" fontId="2" fillId="2" borderId="30" xfId="0" applyFont="1" applyFill="1" applyBorder="1" applyAlignment="1">
      <alignment vertical="center" textRotation="255"/>
    </xf>
    <xf numFmtId="0" fontId="39" fillId="16" borderId="29" xfId="0" applyFont="1" applyFill="1" applyBorder="1" applyAlignment="1">
      <alignment vertical="center" wrapText="1"/>
    </xf>
    <xf numFmtId="176" fontId="0" fillId="16" borderId="28" xfId="2" applyNumberFormat="1" applyFont="1" applyFill="1" applyBorder="1" applyAlignment="1">
      <alignment vertical="center"/>
    </xf>
    <xf numFmtId="176" fontId="0" fillId="16" borderId="26" xfId="2" applyNumberFormat="1" applyFont="1" applyFill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176" fontId="0" fillId="0" borderId="30" xfId="2" applyNumberFormat="1" applyFont="1" applyBorder="1" applyAlignment="1">
      <alignment vertical="center"/>
    </xf>
    <xf numFmtId="176" fontId="0" fillId="0" borderId="33" xfId="2" applyNumberFormat="1" applyFont="1" applyBorder="1" applyAlignment="1">
      <alignment vertical="center"/>
    </xf>
    <xf numFmtId="0" fontId="39" fillId="16" borderId="34" xfId="0" applyFont="1" applyFill="1" applyBorder="1" applyAlignment="1">
      <alignment vertical="center"/>
    </xf>
    <xf numFmtId="176" fontId="0" fillId="16" borderId="31" xfId="2" applyNumberFormat="1" applyFont="1" applyFill="1" applyBorder="1" applyAlignment="1">
      <alignment vertical="center"/>
    </xf>
    <xf numFmtId="176" fontId="0" fillId="16" borderId="35" xfId="2" applyNumberFormat="1" applyFont="1" applyFill="1" applyBorder="1" applyAlignment="1">
      <alignment vertical="center"/>
    </xf>
    <xf numFmtId="0" fontId="39" fillId="2" borderId="0" xfId="0" applyFont="1" applyFill="1" applyAlignment="1">
      <alignment vertical="center" wrapText="1"/>
    </xf>
    <xf numFmtId="3" fontId="0" fillId="2" borderId="30" xfId="1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35" xfId="0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 textRotation="255"/>
    </xf>
    <xf numFmtId="0" fontId="38" fillId="13" borderId="25" xfId="0" applyFont="1" applyFill="1" applyBorder="1" applyAlignment="1">
      <alignment vertical="center"/>
    </xf>
    <xf numFmtId="3" fontId="0" fillId="13" borderId="24" xfId="1" applyNumberFormat="1" applyFont="1" applyFill="1" applyBorder="1" applyAlignment="1">
      <alignment vertical="center"/>
    </xf>
    <xf numFmtId="0" fontId="47" fillId="0" borderId="33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vertical="center" wrapText="1"/>
    </xf>
    <xf numFmtId="3" fontId="0" fillId="16" borderId="29" xfId="1" applyNumberFormat="1" applyFont="1" applyFill="1" applyBorder="1" applyAlignment="1">
      <alignment vertical="center"/>
    </xf>
    <xf numFmtId="0" fontId="39" fillId="0" borderId="32" xfId="0" quotePrefix="1" applyFont="1" applyFill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48" fillId="16" borderId="32" xfId="0" applyFont="1" applyFill="1" applyBorder="1" applyAlignment="1">
      <alignment vertical="center" wrapText="1"/>
    </xf>
    <xf numFmtId="3" fontId="0" fillId="16" borderId="32" xfId="0" applyNumberFormat="1" applyFill="1" applyBorder="1" applyAlignment="1">
      <alignment vertical="center"/>
    </xf>
    <xf numFmtId="0" fontId="48" fillId="0" borderId="34" xfId="0" applyFont="1" applyFill="1" applyBorder="1" applyAlignment="1">
      <alignment vertical="center" wrapText="1"/>
    </xf>
    <xf numFmtId="9" fontId="0" fillId="0" borderId="32" xfId="3" applyFont="1" applyBorder="1" applyAlignment="1">
      <alignment vertical="center"/>
    </xf>
    <xf numFmtId="9" fontId="0" fillId="0" borderId="31" xfId="3" applyFont="1" applyBorder="1" applyAlignment="1">
      <alignment vertical="center"/>
    </xf>
    <xf numFmtId="165" fontId="38" fillId="16" borderId="32" xfId="1" applyNumberFormat="1" applyFont="1" applyFill="1" applyBorder="1" applyAlignment="1">
      <alignment vertical="center" wrapText="1"/>
    </xf>
    <xf numFmtId="3" fontId="0" fillId="16" borderId="28" xfId="1" applyNumberFormat="1" applyFont="1" applyFill="1" applyBorder="1" applyAlignment="1">
      <alignment vertical="center"/>
    </xf>
    <xf numFmtId="165" fontId="35" fillId="11" borderId="0" xfId="1" applyNumberFormat="1" applyFont="1" applyFill="1" applyAlignment="1">
      <alignment vertical="center"/>
    </xf>
    <xf numFmtId="165" fontId="0" fillId="0" borderId="0" xfId="1" applyNumberFormat="1" applyFont="1" applyAlignment="1">
      <alignment vertical="center"/>
    </xf>
    <xf numFmtId="9" fontId="0" fillId="0" borderId="34" xfId="3" applyFont="1" applyBorder="1" applyAlignment="1">
      <alignment vertical="center"/>
    </xf>
    <xf numFmtId="3" fontId="0" fillId="16" borderId="30" xfId="1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16" borderId="30" xfId="0" applyFill="1" applyBorder="1" applyAlignment="1">
      <alignment vertical="center"/>
    </xf>
    <xf numFmtId="165" fontId="0" fillId="16" borderId="30" xfId="0" applyNumberFormat="1" applyFill="1" applyBorder="1" applyAlignment="1">
      <alignment vertical="center"/>
    </xf>
    <xf numFmtId="0" fontId="38" fillId="16" borderId="28" xfId="0" applyFont="1" applyFill="1" applyBorder="1" applyAlignment="1">
      <alignment vertical="center" wrapText="1"/>
    </xf>
    <xf numFmtId="3" fontId="0" fillId="16" borderId="26" xfId="0" applyNumberForma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48" fillId="16" borderId="30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vertical="center" wrapText="1"/>
    </xf>
    <xf numFmtId="0" fontId="2" fillId="15" borderId="29" xfId="0" applyFont="1" applyFill="1" applyBorder="1" applyAlignment="1">
      <alignment horizontal="right" vertical="center" wrapText="1"/>
    </xf>
    <xf numFmtId="0" fontId="2" fillId="15" borderId="26" xfId="0" applyFont="1" applyFill="1" applyBorder="1" applyAlignment="1">
      <alignment horizontal="right" vertical="center" wrapText="1"/>
    </xf>
    <xf numFmtId="3" fontId="0" fillId="15" borderId="28" xfId="1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3" fontId="0" fillId="0" borderId="30" xfId="1" applyNumberFormat="1" applyFont="1" applyFill="1" applyBorder="1" applyAlignment="1">
      <alignment vertical="center"/>
    </xf>
    <xf numFmtId="0" fontId="2" fillId="15" borderId="32" xfId="0" applyFont="1" applyFill="1" applyBorder="1" applyAlignment="1">
      <alignment horizontal="right" vertical="center" wrapText="1"/>
    </xf>
    <xf numFmtId="0" fontId="2" fillId="15" borderId="33" xfId="0" applyFont="1" applyFill="1" applyBorder="1" applyAlignment="1">
      <alignment horizontal="right" vertical="center" wrapText="1"/>
    </xf>
    <xf numFmtId="3" fontId="0" fillId="15" borderId="30" xfId="1" applyNumberFormat="1" applyFont="1" applyFill="1" applyBorder="1" applyAlignment="1">
      <alignment vertical="center"/>
    </xf>
    <xf numFmtId="3" fontId="0" fillId="0" borderId="30" xfId="1" applyNumberFormat="1" applyFont="1" applyBorder="1" applyAlignment="1">
      <alignment vertical="center"/>
    </xf>
    <xf numFmtId="0" fontId="43" fillId="15" borderId="32" xfId="0" applyFont="1" applyFill="1" applyBorder="1" applyAlignment="1">
      <alignment horizontal="right" vertical="center" wrapText="1"/>
    </xf>
    <xf numFmtId="0" fontId="43" fillId="15" borderId="33" xfId="0" applyFont="1" applyFill="1" applyBorder="1" applyAlignment="1">
      <alignment horizontal="right" vertical="center" wrapText="1"/>
    </xf>
    <xf numFmtId="3" fontId="43" fillId="15" borderId="30" xfId="1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right" vertical="center" wrapText="1"/>
    </xf>
    <xf numFmtId="3" fontId="49" fillId="0" borderId="31" xfId="1" applyNumberFormat="1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vertical="center" wrapText="1"/>
    </xf>
    <xf numFmtId="4" fontId="0" fillId="0" borderId="28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2" fillId="2" borderId="31" xfId="0" applyFont="1" applyFill="1" applyBorder="1" applyAlignment="1">
      <alignment horizontal="center" vertical="center" wrapText="1"/>
    </xf>
    <xf numFmtId="0" fontId="43" fillId="2" borderId="30" xfId="0" applyFont="1" applyFill="1" applyBorder="1" applyAlignment="1">
      <alignment vertical="center" wrapText="1"/>
    </xf>
    <xf numFmtId="4" fontId="0" fillId="2" borderId="31" xfId="0" applyNumberFormat="1" applyFill="1" applyBorder="1" applyAlignment="1">
      <alignment vertical="center"/>
    </xf>
    <xf numFmtId="177" fontId="0" fillId="2" borderId="31" xfId="0" applyNumberFormat="1" applyFill="1" applyBorder="1" applyAlignment="1">
      <alignment vertical="center"/>
    </xf>
    <xf numFmtId="173" fontId="38" fillId="13" borderId="28" xfId="0" applyNumberFormat="1" applyFont="1" applyFill="1" applyBorder="1" applyAlignment="1">
      <alignment vertical="center" wrapText="1"/>
    </xf>
    <xf numFmtId="173" fontId="0" fillId="0" borderId="31" xfId="0" applyNumberFormat="1" applyFill="1" applyBorder="1" applyAlignment="1">
      <alignment vertical="center" wrapText="1"/>
    </xf>
    <xf numFmtId="0" fontId="50" fillId="0" borderId="28" xfId="0" applyFont="1" applyFill="1" applyBorder="1" applyAlignment="1">
      <alignment horizontal="center" vertical="center"/>
    </xf>
    <xf numFmtId="173" fontId="39" fillId="0" borderId="30" xfId="0" applyNumberFormat="1" applyFont="1" applyFill="1" applyBorder="1" applyAlignment="1">
      <alignment vertical="center" wrapText="1"/>
    </xf>
    <xf numFmtId="0" fontId="50" fillId="0" borderId="30" xfId="0" applyFont="1" applyFill="1" applyBorder="1" applyAlignment="1">
      <alignment horizontal="center" vertical="center"/>
    </xf>
    <xf numFmtId="173" fontId="39" fillId="2" borderId="30" xfId="0" applyNumberFormat="1" applyFont="1" applyFill="1" applyBorder="1" applyAlignment="1">
      <alignment vertical="center" wrapText="1"/>
    </xf>
    <xf numFmtId="0" fontId="50" fillId="0" borderId="31" xfId="0" applyFont="1" applyFill="1" applyBorder="1" applyAlignment="1">
      <alignment horizontal="center" vertical="center"/>
    </xf>
    <xf numFmtId="173" fontId="39" fillId="0" borderId="31" xfId="0" applyNumberFormat="1" applyFont="1" applyFill="1" applyBorder="1" applyAlignment="1">
      <alignment vertical="center" wrapText="1"/>
    </xf>
    <xf numFmtId="3" fontId="0" fillId="0" borderId="31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51" fillId="0" borderId="0" xfId="0" applyFont="1" applyAlignment="1">
      <alignment vertical="center"/>
    </xf>
  </cellXfs>
  <cellStyles count="9">
    <cellStyle name="Millares" xfId="1" builtinId="3"/>
    <cellStyle name="Millares 2" xfId="5"/>
    <cellStyle name="Millares 2 2" xfId="7"/>
    <cellStyle name="Moneda" xfId="2" builtinId="4"/>
    <cellStyle name="Moneda 2" xfId="8"/>
    <cellStyle name="Normal" xfId="0" builtinId="0"/>
    <cellStyle name="Normal 2_ALDAMA 03 MAR 2009 MODIF_PIGOO CONCENTRADOPROG_INDIC_GESTION ORG  OP rvh" xfId="6"/>
    <cellStyle name="Normal_FORMATO DEL PPTO. 2002  SEPT. 4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if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0" cy="973667"/>
    <xdr:pic>
      <xdr:nvPicPr>
        <xdr:cNvPr id="2" name="4 Imagen">
          <a:extLst>
            <a:ext uri="{FF2B5EF4-FFF2-40B4-BE49-F238E27FC236}">
              <a16:creationId xmlns:a16="http://schemas.microsoft.com/office/drawing/2014/main" xmlns="" id="{DB22CA2D-6D9E-4E90-8C6D-094532DDD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3" name="3 Imagen">
          <a:extLst>
            <a:ext uri="{FF2B5EF4-FFF2-40B4-BE49-F238E27FC236}">
              <a16:creationId xmlns:a16="http://schemas.microsoft.com/office/drawing/2014/main" xmlns="" id="{151DD97F-1B0C-4E53-BC03-9B46FEA3F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714374</xdr:colOff>
      <xdr:row>0</xdr:row>
      <xdr:rowOff>0</xdr:rowOff>
    </xdr:from>
    <xdr:to>
      <xdr:col>17</xdr:col>
      <xdr:colOff>595313</xdr:colOff>
      <xdr:row>4</xdr:row>
      <xdr:rowOff>142874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44" r="79047" b="26238"/>
        <a:stretch/>
      </xdr:blipFill>
      <xdr:spPr>
        <a:xfrm>
          <a:off x="25965149" y="0"/>
          <a:ext cx="1138239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3314700</xdr:colOff>
      <xdr:row>5</xdr:row>
      <xdr:rowOff>52387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4700" cy="1119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4</xdr:row>
      <xdr:rowOff>47625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6050" cy="809625"/>
        </a:xfrm>
        <a:prstGeom prst="rect">
          <a:avLst/>
        </a:prstGeom>
      </xdr:spPr>
    </xdr:pic>
    <xdr:clientData/>
  </xdr:twoCellAnchor>
  <xdr:twoCellAnchor editAs="oneCell">
    <xdr:from>
      <xdr:col>11</xdr:col>
      <xdr:colOff>923925</xdr:colOff>
      <xdr:row>0</xdr:row>
      <xdr:rowOff>76200</xdr:rowOff>
    </xdr:from>
    <xdr:to>
      <xdr:col>12</xdr:col>
      <xdr:colOff>923925</xdr:colOff>
      <xdr:row>4</xdr:row>
      <xdr:rowOff>9525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44" r="79047" b="26238"/>
        <a:stretch/>
      </xdr:blipFill>
      <xdr:spPr>
        <a:xfrm>
          <a:off x="12820650" y="76200"/>
          <a:ext cx="952500" cy="695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Tesoreria/1AESTADOS%20FINANCIEROS/ESTADOS%20FINANCIEROS%202021/Diciembre%202021/Plantilla%20Indicadores%20y%20PIGOO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GOO"/>
      <sheetName val="INDICADORES"/>
      <sheetName val="graficos"/>
      <sheetName val="INSTRUCTIV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15"/>
  <sheetViews>
    <sheetView zoomScale="80" zoomScaleNormal="80" workbookViewId="0">
      <pane ySplit="10" topLeftCell="A11" activePane="bottomLeft" state="frozen"/>
      <selection activeCell="M108" sqref="M108"/>
      <selection pane="bottomLeft" activeCell="A37" sqref="A37"/>
    </sheetView>
  </sheetViews>
  <sheetFormatPr baseColWidth="10" defaultRowHeight="15" x14ac:dyDescent="0.25"/>
  <cols>
    <col min="1" max="1" width="66.5703125" style="138" customWidth="1"/>
    <col min="2" max="2" width="20.5703125" style="122" bestFit="1" customWidth="1"/>
    <col min="3" max="3" width="20" style="138" bestFit="1" customWidth="1"/>
    <col min="4" max="4" width="21.42578125" style="138" customWidth="1"/>
    <col min="5" max="5" width="19.85546875" style="138" customWidth="1"/>
    <col min="6" max="8" width="20" style="138" bestFit="1" customWidth="1"/>
    <col min="9" max="9" width="20.5703125" style="138" customWidth="1"/>
    <col min="10" max="11" width="20" style="138" bestFit="1" customWidth="1"/>
    <col min="12" max="12" width="20.5703125" style="138" customWidth="1"/>
    <col min="13" max="13" width="20" style="138" bestFit="1" customWidth="1"/>
    <col min="14" max="14" width="20.5703125" style="138" bestFit="1" customWidth="1"/>
    <col min="15" max="15" width="21.28515625" style="138" customWidth="1"/>
    <col min="16" max="16" width="27.28515625" style="138" customWidth="1"/>
    <col min="17" max="17" width="18.85546875" style="138" customWidth="1"/>
    <col min="18" max="18" width="9.28515625" style="139" customWidth="1"/>
    <col min="19" max="19" width="4.140625" customWidth="1"/>
    <col min="20" max="20" width="22" customWidth="1"/>
    <col min="21" max="21" width="21.28515625" customWidth="1"/>
    <col min="22" max="22" width="11.42578125" customWidth="1"/>
  </cols>
  <sheetData>
    <row r="1" spans="1:1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8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.75" x14ac:dyDescent="0.25">
      <c r="A8" s="6"/>
      <c r="B8" s="7"/>
      <c r="C8" s="8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/>
      <c r="O8" s="9"/>
      <c r="P8" s="9"/>
      <c r="Q8" s="9"/>
      <c r="R8" s="10"/>
    </row>
    <row r="9" spans="1:18" ht="31.5" x14ac:dyDescent="0.25">
      <c r="A9" s="11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12" t="s">
        <v>15</v>
      </c>
      <c r="N9" s="12" t="s">
        <v>16</v>
      </c>
      <c r="O9" s="12" t="s">
        <v>17</v>
      </c>
      <c r="P9" s="12" t="s">
        <v>18</v>
      </c>
      <c r="Q9" s="12" t="s">
        <v>19</v>
      </c>
      <c r="R9" s="13" t="s">
        <v>20</v>
      </c>
    </row>
    <row r="10" spans="1:18" ht="15.75" x14ac:dyDescent="0.25">
      <c r="A10" s="14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1:18" ht="15.75" x14ac:dyDescent="0.25">
      <c r="A11" s="17" t="s">
        <v>22</v>
      </c>
      <c r="B11" s="18">
        <f>+B12+B19</f>
        <v>5491608.4800000004</v>
      </c>
      <c r="C11" s="18">
        <f>+C12+C19</f>
        <v>6478568.7300000004</v>
      </c>
      <c r="D11" s="18">
        <f t="shared" ref="D11:M11" si="0">+D12+D19</f>
        <v>9785370.9799999986</v>
      </c>
      <c r="E11" s="18">
        <f t="shared" si="0"/>
        <v>6776694.9199999999</v>
      </c>
      <c r="F11" s="18">
        <f t="shared" si="0"/>
        <v>6519058.5700000003</v>
      </c>
      <c r="G11" s="18">
        <f t="shared" si="0"/>
        <v>8863505.0800000001</v>
      </c>
      <c r="H11" s="18">
        <f t="shared" si="0"/>
        <v>8465095.6600000001</v>
      </c>
      <c r="I11" s="18">
        <f t="shared" si="0"/>
        <v>7731514.3599999994</v>
      </c>
      <c r="J11" s="18">
        <f t="shared" si="0"/>
        <v>8711468.8900000006</v>
      </c>
      <c r="K11" s="18">
        <f t="shared" si="0"/>
        <v>8522075.6000000015</v>
      </c>
      <c r="L11" s="18">
        <f t="shared" si="0"/>
        <v>8197134.5300000003</v>
      </c>
      <c r="M11" s="18">
        <f t="shared" si="0"/>
        <v>10016321.010000002</v>
      </c>
      <c r="N11" s="18">
        <f>+N12+N19</f>
        <v>95558416.810000002</v>
      </c>
      <c r="O11" s="18">
        <f>+O12+O19</f>
        <v>76189943.953426674</v>
      </c>
      <c r="P11" s="18">
        <f>+P12+P19</f>
        <v>76189943.953426674</v>
      </c>
      <c r="Q11" s="18">
        <f>+N11-P11</f>
        <v>19368472.856573328</v>
      </c>
      <c r="R11" s="19">
        <f t="shared" ref="R11:R17" si="1">+Q11/P11</f>
        <v>0.25421298207559873</v>
      </c>
    </row>
    <row r="12" spans="1:18" x14ac:dyDescent="0.25">
      <c r="A12" s="20" t="s">
        <v>23</v>
      </c>
      <c r="B12" s="21">
        <f>B13-B16-B17</f>
        <v>5290164.78</v>
      </c>
      <c r="C12" s="21">
        <f>C13-C16-C17</f>
        <v>6207922.5500000007</v>
      </c>
      <c r="D12" s="21">
        <f t="shared" ref="D12:M12" si="2">+D13-D16-D17</f>
        <v>6741629.8199999994</v>
      </c>
      <c r="E12" s="21">
        <f t="shared" si="2"/>
        <v>6507250.21</v>
      </c>
      <c r="F12" s="21">
        <f t="shared" si="2"/>
        <v>6296546.8300000001</v>
      </c>
      <c r="G12" s="21">
        <f t="shared" si="2"/>
        <v>7013152.0300000003</v>
      </c>
      <c r="H12" s="21">
        <f t="shared" si="2"/>
        <v>7271763.9299999997</v>
      </c>
      <c r="I12" s="21">
        <f t="shared" si="2"/>
        <v>7451249.7299999995</v>
      </c>
      <c r="J12" s="21">
        <f t="shared" si="2"/>
        <v>7108969.2999999998</v>
      </c>
      <c r="K12" s="21">
        <f t="shared" si="2"/>
        <v>6041788.29</v>
      </c>
      <c r="L12" s="21">
        <f t="shared" si="2"/>
        <v>6325077.0500000007</v>
      </c>
      <c r="M12" s="21">
        <f t="shared" si="2"/>
        <v>6693586.540000001</v>
      </c>
      <c r="N12" s="21">
        <f>+N13-N16-N17</f>
        <v>78949101.060000002</v>
      </c>
      <c r="O12" s="21">
        <f>+O13+O16+O17</f>
        <v>71726437.882666677</v>
      </c>
      <c r="P12" s="21">
        <f>+P13+P16+P17</f>
        <v>71726437.882666677</v>
      </c>
      <c r="Q12" s="21">
        <f>+N12-P12</f>
        <v>7222663.1773333251</v>
      </c>
      <c r="R12" s="22">
        <f t="shared" si="1"/>
        <v>0.10069736335085372</v>
      </c>
    </row>
    <row r="13" spans="1:18" x14ac:dyDescent="0.25">
      <c r="A13" s="23" t="s">
        <v>24</v>
      </c>
      <c r="B13" s="21">
        <f>+B14+B15</f>
        <v>5761301.7599999998</v>
      </c>
      <c r="C13" s="21">
        <f>+C14+C15</f>
        <v>6543730.0499999998</v>
      </c>
      <c r="D13" s="21">
        <f t="shared" ref="D13:M13" si="3">+D14+D15</f>
        <v>7172858.6600000001</v>
      </c>
      <c r="E13" s="21">
        <f t="shared" si="3"/>
        <v>6922600.2599999998</v>
      </c>
      <c r="F13" s="21">
        <f t="shared" si="3"/>
        <v>6668999.71</v>
      </c>
      <c r="G13" s="21">
        <f t="shared" si="3"/>
        <v>7537589.0800000001</v>
      </c>
      <c r="H13" s="21">
        <f t="shared" si="3"/>
        <v>7757104.1299999999</v>
      </c>
      <c r="I13" s="21">
        <f t="shared" si="3"/>
        <v>7928415.8099999996</v>
      </c>
      <c r="J13" s="21">
        <f t="shared" si="3"/>
        <v>7541546.9399999995</v>
      </c>
      <c r="K13" s="21">
        <f t="shared" si="3"/>
        <v>6470557.4299999997</v>
      </c>
      <c r="L13" s="21">
        <f t="shared" si="3"/>
        <v>6985372.6800000006</v>
      </c>
      <c r="M13" s="21">
        <f t="shared" si="3"/>
        <v>7428961.6200000001</v>
      </c>
      <c r="N13" s="21">
        <f>+N14+N15</f>
        <v>84719038.129999995</v>
      </c>
      <c r="O13" s="21">
        <f>+O14+O15</f>
        <v>71726437.882666677</v>
      </c>
      <c r="P13" s="21">
        <f>+P14+P15</f>
        <v>71726437.882666677</v>
      </c>
      <c r="Q13" s="21">
        <f>+N13-P13</f>
        <v>12992600.247333318</v>
      </c>
      <c r="R13" s="22">
        <f t="shared" si="1"/>
        <v>0.1811410217887468</v>
      </c>
    </row>
    <row r="14" spans="1:18" x14ac:dyDescent="0.25">
      <c r="A14" s="24" t="s">
        <v>25</v>
      </c>
      <c r="B14" s="25">
        <v>5109735.32</v>
      </c>
      <c r="C14" s="25">
        <v>5426432.6299999999</v>
      </c>
      <c r="D14" s="25">
        <v>6233111.8300000001</v>
      </c>
      <c r="E14" s="26">
        <v>5959258.7199999997</v>
      </c>
      <c r="F14" s="25">
        <v>5285886.67</v>
      </c>
      <c r="G14" s="25">
        <v>6725783.3799999999</v>
      </c>
      <c r="H14" s="27">
        <v>6822725.8300000001</v>
      </c>
      <c r="I14" s="27">
        <v>6296658.3899999997</v>
      </c>
      <c r="J14" s="27">
        <v>5972087.0800000001</v>
      </c>
      <c r="K14" s="25">
        <v>5763463.8300000001</v>
      </c>
      <c r="L14" s="25">
        <v>6249837.5700000003</v>
      </c>
      <c r="M14" s="25">
        <v>6494557.6200000001</v>
      </c>
      <c r="N14" s="25">
        <f t="shared" ref="N14:N19" si="4">SUM(B14:M14)</f>
        <v>72339538.870000005</v>
      </c>
      <c r="O14" s="25">
        <v>65130418.980000004</v>
      </c>
      <c r="P14" s="25">
        <f t="shared" ref="P14:P19" si="5">+O14/12*$R$20</f>
        <v>65130418.980000004</v>
      </c>
      <c r="Q14" s="25">
        <f t="shared" ref="Q14:Q19" si="6">+N14-P14</f>
        <v>7209119.8900000006</v>
      </c>
      <c r="R14" s="28">
        <f t="shared" si="1"/>
        <v>0.11068744839817089</v>
      </c>
    </row>
    <row r="15" spans="1:18" x14ac:dyDescent="0.25">
      <c r="A15" s="24" t="s">
        <v>26</v>
      </c>
      <c r="B15" s="25">
        <v>651566.43999999948</v>
      </c>
      <c r="C15" s="25">
        <v>1117297.42</v>
      </c>
      <c r="D15" s="25">
        <v>939746.83000000007</v>
      </c>
      <c r="E15" s="25">
        <v>963341.54</v>
      </c>
      <c r="F15" s="25">
        <v>1383113.04</v>
      </c>
      <c r="G15" s="25">
        <f>811558.92+246.78</f>
        <v>811805.70000000007</v>
      </c>
      <c r="H15" s="27">
        <f>935481.9-1100-3.6</f>
        <v>934378.3</v>
      </c>
      <c r="I15" s="27">
        <v>1631757.42</v>
      </c>
      <c r="J15" s="27">
        <v>1569459.8599999994</v>
      </c>
      <c r="K15" s="25">
        <v>707093.59999999963</v>
      </c>
      <c r="L15" s="25">
        <v>735535.11000000034</v>
      </c>
      <c r="M15" s="25">
        <v>934404</v>
      </c>
      <c r="N15" s="25">
        <f t="shared" si="4"/>
        <v>12379499.259999998</v>
      </c>
      <c r="O15" s="25">
        <v>6596018.9026666665</v>
      </c>
      <c r="P15" s="25">
        <f t="shared" si="5"/>
        <v>6596018.9026666665</v>
      </c>
      <c r="Q15" s="25">
        <f t="shared" si="6"/>
        <v>5783480.3573333314</v>
      </c>
      <c r="R15" s="28">
        <f t="shared" si="1"/>
        <v>0.87681379369533963</v>
      </c>
    </row>
    <row r="16" spans="1:18" x14ac:dyDescent="0.25">
      <c r="A16" s="29" t="s">
        <v>27</v>
      </c>
      <c r="B16" s="30">
        <v>283387.84000000003</v>
      </c>
      <c r="C16" s="30">
        <v>290966.23</v>
      </c>
      <c r="D16" s="30">
        <v>347905.9</v>
      </c>
      <c r="E16" s="30">
        <v>333998.28000000003</v>
      </c>
      <c r="F16" s="30">
        <v>319653.82</v>
      </c>
      <c r="G16" s="30">
        <v>364869.24</v>
      </c>
      <c r="H16" s="31">
        <v>376446.22</v>
      </c>
      <c r="I16" s="27">
        <v>346606.36</v>
      </c>
      <c r="J16" s="27">
        <v>353019.02</v>
      </c>
      <c r="K16" s="30">
        <v>340345.29</v>
      </c>
      <c r="L16" s="30">
        <v>353738.74</v>
      </c>
      <c r="M16" s="30">
        <v>359863.06</v>
      </c>
      <c r="N16" s="25">
        <f t="shared" si="4"/>
        <v>4070800.0000000005</v>
      </c>
      <c r="O16" s="30">
        <v>0</v>
      </c>
      <c r="P16" s="25">
        <f t="shared" si="5"/>
        <v>0</v>
      </c>
      <c r="Q16" s="25">
        <f t="shared" si="6"/>
        <v>4070800.0000000005</v>
      </c>
      <c r="R16" s="28" t="e">
        <f t="shared" si="1"/>
        <v>#DIV/0!</v>
      </c>
    </row>
    <row r="17" spans="1:18" x14ac:dyDescent="0.25">
      <c r="A17" s="29" t="s">
        <v>28</v>
      </c>
      <c r="B17" s="30">
        <v>187749.14</v>
      </c>
      <c r="C17" s="30">
        <v>44841.27</v>
      </c>
      <c r="D17" s="30">
        <v>83322.94</v>
      </c>
      <c r="E17" s="30">
        <v>81351.77</v>
      </c>
      <c r="F17" s="30">
        <v>52799.06</v>
      </c>
      <c r="G17" s="30">
        <v>159567.81</v>
      </c>
      <c r="H17" s="31">
        <v>108893.98</v>
      </c>
      <c r="I17" s="27">
        <v>130559.72</v>
      </c>
      <c r="J17" s="27">
        <v>79558.62</v>
      </c>
      <c r="K17" s="30">
        <v>88423.85</v>
      </c>
      <c r="L17" s="30">
        <v>306556.89</v>
      </c>
      <c r="M17" s="30">
        <v>375512.02</v>
      </c>
      <c r="N17" s="25">
        <f t="shared" si="4"/>
        <v>1699137.0699999998</v>
      </c>
      <c r="O17" s="30">
        <v>0</v>
      </c>
      <c r="P17" s="25">
        <f t="shared" si="5"/>
        <v>0</v>
      </c>
      <c r="Q17" s="25">
        <f t="shared" si="6"/>
        <v>1699137.0699999998</v>
      </c>
      <c r="R17" s="28" t="e">
        <f t="shared" si="1"/>
        <v>#DIV/0!</v>
      </c>
    </row>
    <row r="18" spans="1:18" x14ac:dyDescent="0.25">
      <c r="A18" s="29" t="s">
        <v>29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1">
        <v>0</v>
      </c>
      <c r="I18" s="31">
        <v>0</v>
      </c>
      <c r="J18" s="27">
        <v>0</v>
      </c>
      <c r="K18" s="30">
        <v>0</v>
      </c>
      <c r="L18" s="30">
        <v>0</v>
      </c>
      <c r="M18" s="30">
        <v>0</v>
      </c>
      <c r="N18" s="25">
        <f t="shared" si="4"/>
        <v>0</v>
      </c>
      <c r="O18" s="30">
        <v>0</v>
      </c>
      <c r="P18" s="25">
        <f>+O18/12*$Q$23</f>
        <v>0</v>
      </c>
      <c r="Q18" s="25">
        <f t="shared" si="6"/>
        <v>0</v>
      </c>
      <c r="R18" s="28"/>
    </row>
    <row r="19" spans="1:18" x14ac:dyDescent="0.25">
      <c r="A19" s="32" t="s">
        <v>30</v>
      </c>
      <c r="B19" s="25">
        <v>201443.7</v>
      </c>
      <c r="C19" s="25">
        <v>270646.18</v>
      </c>
      <c r="D19" s="25">
        <v>3043741.1599999997</v>
      </c>
      <c r="E19" s="25">
        <v>269444.71000000031</v>
      </c>
      <c r="F19" s="25">
        <v>222511.74</v>
      </c>
      <c r="G19" s="25">
        <v>1850353.05</v>
      </c>
      <c r="H19" s="25">
        <v>1193331.7300000002</v>
      </c>
      <c r="I19" s="27">
        <v>280264.63</v>
      </c>
      <c r="J19" s="27">
        <v>1602499.5899999999</v>
      </c>
      <c r="K19" s="25">
        <v>2480287.310000001</v>
      </c>
      <c r="L19" s="25">
        <v>1872057.4799999993</v>
      </c>
      <c r="M19" s="25">
        <v>3322734.4699999997</v>
      </c>
      <c r="N19" s="25">
        <f t="shared" si="4"/>
        <v>16609315.75</v>
      </c>
      <c r="O19" s="25">
        <v>4463506.0707600005</v>
      </c>
      <c r="P19" s="25">
        <f t="shared" si="5"/>
        <v>4463506.0707600005</v>
      </c>
      <c r="Q19" s="25">
        <f t="shared" si="6"/>
        <v>12145809.67924</v>
      </c>
      <c r="R19" s="33">
        <f>+Q19/P19</f>
        <v>2.7211365878509794</v>
      </c>
    </row>
    <row r="20" spans="1:18" x14ac:dyDescent="0.25">
      <c r="A20" s="34"/>
      <c r="B20" s="25"/>
      <c r="C20" s="25"/>
      <c r="D20" s="25"/>
      <c r="E20" s="25"/>
      <c r="F20" s="25"/>
      <c r="G20" s="25"/>
      <c r="H20" s="27"/>
      <c r="I20" s="25"/>
      <c r="J20" s="25"/>
      <c r="K20" s="25"/>
      <c r="L20" s="25"/>
      <c r="M20" s="25"/>
      <c r="N20" s="25"/>
      <c r="O20" s="25"/>
      <c r="P20" s="25"/>
      <c r="Q20" s="25"/>
      <c r="R20" s="35">
        <f>COUNTA(B14:M14)</f>
        <v>12</v>
      </c>
    </row>
    <row r="21" spans="1:18" ht="15.75" x14ac:dyDescent="0.25">
      <c r="A21" s="36" t="s">
        <v>31</v>
      </c>
      <c r="B21" s="37">
        <f>+B22+B35+B36</f>
        <v>5390919.1200000001</v>
      </c>
      <c r="C21" s="37">
        <f t="shared" ref="C21:M21" si="7">+C22+C35+C36</f>
        <v>5827569.1800000006</v>
      </c>
      <c r="D21" s="37">
        <f t="shared" si="7"/>
        <v>5284132.12</v>
      </c>
      <c r="E21" s="37">
        <f t="shared" si="7"/>
        <v>5812318.7200000007</v>
      </c>
      <c r="F21" s="37">
        <f t="shared" si="7"/>
        <v>5483833.9800000004</v>
      </c>
      <c r="G21" s="37">
        <f t="shared" si="7"/>
        <v>5355495.3599999994</v>
      </c>
      <c r="H21" s="37">
        <f t="shared" si="7"/>
        <v>5902614.1699999999</v>
      </c>
      <c r="I21" s="37">
        <f t="shared" si="7"/>
        <v>20489117.710000001</v>
      </c>
      <c r="J21" s="37">
        <f t="shared" si="7"/>
        <v>7274140.2999999998</v>
      </c>
      <c r="K21" s="37">
        <f t="shared" si="7"/>
        <v>7212317.8400000008</v>
      </c>
      <c r="L21" s="37">
        <f t="shared" si="7"/>
        <v>7692251.7500000009</v>
      </c>
      <c r="M21" s="37">
        <f t="shared" si="7"/>
        <v>38093820.510000005</v>
      </c>
      <c r="N21" s="37">
        <f>+N22+N34+N35</f>
        <v>97601573.530000001</v>
      </c>
      <c r="O21" s="37">
        <f>+O22+O34+O35</f>
        <v>84555575.695684209</v>
      </c>
      <c r="P21" s="37">
        <f>+P22+P34+P35</f>
        <v>84555575.695684209</v>
      </c>
      <c r="Q21" s="37">
        <f>+N21-P21</f>
        <v>13045997.834315792</v>
      </c>
      <c r="R21" s="38">
        <f t="shared" ref="R21:R27" si="8">+Q21/P21</f>
        <v>0.15428903093591817</v>
      </c>
    </row>
    <row r="22" spans="1:18" x14ac:dyDescent="0.25">
      <c r="A22" s="20" t="s">
        <v>32</v>
      </c>
      <c r="B22" s="39">
        <f>+B23+B24+B25+B30+B31</f>
        <v>5390919.1200000001</v>
      </c>
      <c r="C22" s="39">
        <f t="shared" ref="C22:N22" si="9">+C23+C24+C25+C30+C31</f>
        <v>5733069.1800000006</v>
      </c>
      <c r="D22" s="39">
        <f t="shared" si="9"/>
        <v>5284132.12</v>
      </c>
      <c r="E22" s="39">
        <f t="shared" si="9"/>
        <v>5787788.7200000007</v>
      </c>
      <c r="F22" s="39">
        <f t="shared" si="9"/>
        <v>5280283.6000000006</v>
      </c>
      <c r="G22" s="39">
        <f t="shared" si="9"/>
        <v>5311689.6599999992</v>
      </c>
      <c r="H22" s="39">
        <f t="shared" si="9"/>
        <v>5902614.1699999999</v>
      </c>
      <c r="I22" s="39">
        <f t="shared" si="9"/>
        <v>7281780.21</v>
      </c>
      <c r="J22" s="39">
        <f t="shared" si="9"/>
        <v>7035827.3199999994</v>
      </c>
      <c r="K22" s="39">
        <f t="shared" si="9"/>
        <v>7175791.7300000004</v>
      </c>
      <c r="L22" s="39">
        <f t="shared" si="9"/>
        <v>7075882.2300000004</v>
      </c>
      <c r="M22" s="39">
        <f t="shared" si="9"/>
        <v>6505804.4600000009</v>
      </c>
      <c r="N22" s="39">
        <f t="shared" si="9"/>
        <v>73765582.519999996</v>
      </c>
      <c r="O22" s="39">
        <f>+O23+O24+O25+O30</f>
        <v>64764565.825684205</v>
      </c>
      <c r="P22" s="39">
        <f>+P23+P24+P25+P30</f>
        <v>64764565.825684205</v>
      </c>
      <c r="Q22" s="39">
        <f>+N22-P22</f>
        <v>9001016.6943157911</v>
      </c>
      <c r="R22" s="22">
        <f t="shared" si="8"/>
        <v>0.13898057648594914</v>
      </c>
    </row>
    <row r="23" spans="1:18" x14ac:dyDescent="0.25">
      <c r="A23" s="40" t="s">
        <v>33</v>
      </c>
      <c r="B23" s="25">
        <v>2172411.61</v>
      </c>
      <c r="C23" s="25">
        <v>2880259.77</v>
      </c>
      <c r="D23" s="25">
        <v>2517645.4300000002</v>
      </c>
      <c r="E23" s="25">
        <v>2516203.23</v>
      </c>
      <c r="F23" s="25">
        <v>2137360.0299999998</v>
      </c>
      <c r="G23" s="25">
        <v>2170418.58</v>
      </c>
      <c r="H23" s="27">
        <v>2508838.5100000002</v>
      </c>
      <c r="I23" s="27">
        <v>2263967.0099999998</v>
      </c>
      <c r="J23" s="27">
        <v>2447506.73</v>
      </c>
      <c r="K23" s="25">
        <v>2720922.71</v>
      </c>
      <c r="L23" s="25">
        <v>2888024.9299999997</v>
      </c>
      <c r="M23" s="25">
        <v>2849825.48</v>
      </c>
      <c r="N23" s="25">
        <f>SUM(B23:M23)</f>
        <v>30073384.020000003</v>
      </c>
      <c r="O23" s="25">
        <v>30084312.625631601</v>
      </c>
      <c r="P23" s="25">
        <f>+O23/12*$R$20</f>
        <v>30084312.625631601</v>
      </c>
      <c r="Q23" s="25">
        <f>+N23-P23</f>
        <v>-10928.60563159734</v>
      </c>
      <c r="R23" s="28">
        <f t="shared" si="8"/>
        <v>-3.6326592425735705E-4</v>
      </c>
    </row>
    <row r="24" spans="1:18" x14ac:dyDescent="0.25">
      <c r="A24" s="29" t="s">
        <v>34</v>
      </c>
      <c r="B24" s="25">
        <v>450168.48</v>
      </c>
      <c r="C24" s="25">
        <v>496289.06</v>
      </c>
      <c r="D24" s="25">
        <v>507514.23</v>
      </c>
      <c r="E24" s="25">
        <v>633841.79</v>
      </c>
      <c r="F24" s="25">
        <v>498744.23</v>
      </c>
      <c r="G24" s="25">
        <v>536863.34</v>
      </c>
      <c r="H24" s="27">
        <v>429151.42</v>
      </c>
      <c r="I24" s="27">
        <v>2344405.2999999998</v>
      </c>
      <c r="J24" s="27">
        <v>2054104.96</v>
      </c>
      <c r="K24" s="41">
        <v>1316709.98</v>
      </c>
      <c r="L24" s="25">
        <v>843752.02</v>
      </c>
      <c r="M24" s="25">
        <v>861609.4</v>
      </c>
      <c r="N24" s="25">
        <f t="shared" ref="N24:N31" si="10">SUM(B24:M24)</f>
        <v>10973154.209999999</v>
      </c>
      <c r="O24" s="25">
        <v>11001737.6345139</v>
      </c>
      <c r="P24" s="25">
        <f>+O24/12*$R$20</f>
        <v>11001737.6345139</v>
      </c>
      <c r="Q24" s="25">
        <f t="shared" ref="Q24:Q31" si="11">+N24-P24</f>
        <v>-28583.424513900653</v>
      </c>
      <c r="R24" s="28">
        <f t="shared" si="8"/>
        <v>-2.5980827268804055E-3</v>
      </c>
    </row>
    <row r="25" spans="1:18" x14ac:dyDescent="0.25">
      <c r="A25" s="42" t="s">
        <v>35</v>
      </c>
      <c r="B25" s="21">
        <f>+B26+B27+B28+B29</f>
        <v>1533994.04</v>
      </c>
      <c r="C25" s="21">
        <f t="shared" ref="C25:N25" si="12">+C26+C27+C28+C29</f>
        <v>1271544.24</v>
      </c>
      <c r="D25" s="21">
        <f t="shared" si="12"/>
        <v>1231082.9099999999</v>
      </c>
      <c r="E25" s="21">
        <f t="shared" si="12"/>
        <v>1524440.04</v>
      </c>
      <c r="F25" s="21">
        <f t="shared" si="12"/>
        <v>1551517.53</v>
      </c>
      <c r="G25" s="21">
        <f t="shared" si="12"/>
        <v>1496080.13</v>
      </c>
      <c r="H25" s="21">
        <f t="shared" si="12"/>
        <v>1895471.94</v>
      </c>
      <c r="I25" s="21">
        <f t="shared" si="12"/>
        <v>1485041.87</v>
      </c>
      <c r="J25" s="21">
        <f t="shared" si="12"/>
        <v>1547708.88</v>
      </c>
      <c r="K25" s="21">
        <f t="shared" si="12"/>
        <v>1995267.49</v>
      </c>
      <c r="L25" s="21">
        <f t="shared" si="12"/>
        <v>1807776.1</v>
      </c>
      <c r="M25" s="21">
        <f t="shared" si="12"/>
        <v>1565259.12</v>
      </c>
      <c r="N25" s="21">
        <f t="shared" si="12"/>
        <v>18905184.289999999</v>
      </c>
      <c r="O25" s="21">
        <f>+O26+O27+O29</f>
        <v>18909955.7005179</v>
      </c>
      <c r="P25" s="21">
        <f>+P26+P27+P29</f>
        <v>18909955.7005179</v>
      </c>
      <c r="Q25" s="21">
        <f t="shared" si="11"/>
        <v>-4771.4105179011822</v>
      </c>
      <c r="R25" s="22">
        <f t="shared" si="8"/>
        <v>-2.5232267031543096E-4</v>
      </c>
    </row>
    <row r="26" spans="1:18" x14ac:dyDescent="0.25">
      <c r="A26" s="24" t="s">
        <v>36</v>
      </c>
      <c r="B26" s="25">
        <v>525824.74</v>
      </c>
      <c r="C26" s="25">
        <v>561276.48</v>
      </c>
      <c r="D26" s="25">
        <v>425106.23</v>
      </c>
      <c r="E26" s="25">
        <v>585996.52</v>
      </c>
      <c r="F26" s="25">
        <v>620205.72</v>
      </c>
      <c r="G26" s="25">
        <v>639366.6</v>
      </c>
      <c r="H26" s="27">
        <v>717530.53</v>
      </c>
      <c r="I26" s="27">
        <v>661638.30000000005</v>
      </c>
      <c r="J26" s="27">
        <v>586169.04</v>
      </c>
      <c r="K26" s="25">
        <v>660929.96</v>
      </c>
      <c r="L26" s="25">
        <v>608184.78</v>
      </c>
      <c r="M26" s="25">
        <v>543685.85</v>
      </c>
      <c r="N26" s="25">
        <f t="shared" si="10"/>
        <v>7135914.7499999991</v>
      </c>
      <c r="O26" s="25">
        <v>7430288.8146666661</v>
      </c>
      <c r="P26" s="25">
        <f>+O26/12*$R$20</f>
        <v>7430288.8146666661</v>
      </c>
      <c r="Q26" s="25">
        <f t="shared" si="11"/>
        <v>-294374.06466666702</v>
      </c>
      <c r="R26" s="28"/>
    </row>
    <row r="27" spans="1:18" x14ac:dyDescent="0.25">
      <c r="A27" s="24" t="s">
        <v>37</v>
      </c>
      <c r="B27" s="25">
        <v>265211.84999999998</v>
      </c>
      <c r="C27" s="25">
        <v>301445.46000000002</v>
      </c>
      <c r="D27" s="25">
        <v>337068.57</v>
      </c>
      <c r="E27" s="25">
        <v>322089.09000000003</v>
      </c>
      <c r="F27" s="25">
        <v>314623.05</v>
      </c>
      <c r="G27" s="25">
        <v>352133.74</v>
      </c>
      <c r="H27" s="27">
        <v>366585.59</v>
      </c>
      <c r="I27" s="27">
        <v>372621.3</v>
      </c>
      <c r="J27" s="27">
        <v>359833.85</v>
      </c>
      <c r="K27" s="25">
        <v>301553.40999999997</v>
      </c>
      <c r="L27" s="25">
        <v>317712.18</v>
      </c>
      <c r="M27" s="25">
        <v>0</v>
      </c>
      <c r="N27" s="25">
        <f t="shared" si="10"/>
        <v>3610878.0900000003</v>
      </c>
      <c r="O27" s="25">
        <v>2444089.41</v>
      </c>
      <c r="P27" s="25">
        <f>+O27/12*$R$20</f>
        <v>2444089.41</v>
      </c>
      <c r="Q27" s="25">
        <f t="shared" si="11"/>
        <v>1166788.6800000002</v>
      </c>
      <c r="R27" s="28">
        <f t="shared" si="8"/>
        <v>0.47739197888018348</v>
      </c>
    </row>
    <row r="28" spans="1:18" x14ac:dyDescent="0.25">
      <c r="A28" s="24" t="s">
        <v>38</v>
      </c>
      <c r="B28" s="25">
        <v>178560.61</v>
      </c>
      <c r="C28" s="25">
        <v>0</v>
      </c>
      <c r="D28" s="25">
        <v>0</v>
      </c>
      <c r="E28" s="25">
        <v>176484.08</v>
      </c>
      <c r="F28" s="25">
        <v>0</v>
      </c>
      <c r="G28" s="25">
        <v>0</v>
      </c>
      <c r="H28" s="27">
        <v>239991.7</v>
      </c>
      <c r="I28" s="27">
        <v>0</v>
      </c>
      <c r="J28" s="27">
        <v>0</v>
      </c>
      <c r="K28" s="25">
        <v>179735.38</v>
      </c>
      <c r="L28" s="25">
        <v>0</v>
      </c>
      <c r="M28" s="25">
        <v>337009.24</v>
      </c>
      <c r="N28" s="25">
        <f t="shared" si="10"/>
        <v>1111781.0099999998</v>
      </c>
      <c r="O28" s="25"/>
      <c r="P28" s="25"/>
      <c r="Q28" s="25"/>
      <c r="R28" s="28"/>
    </row>
    <row r="29" spans="1:18" x14ac:dyDescent="0.25">
      <c r="A29" s="24" t="s">
        <v>39</v>
      </c>
      <c r="B29" s="25">
        <f>1533994.04-B28-B27-B26</f>
        <v>564396.84000000008</v>
      </c>
      <c r="C29" s="25">
        <f>1271544.24-C28-C27-C26</f>
        <v>408822.30000000005</v>
      </c>
      <c r="D29" s="25">
        <f>1231082.91-D26-D27-D28</f>
        <v>468908.10999999993</v>
      </c>
      <c r="E29" s="25">
        <f>1524440.04-E28-E27-E26</f>
        <v>439870.34999999986</v>
      </c>
      <c r="F29" s="25">
        <f>1551517.53-F28-F27-F26</f>
        <v>616688.76</v>
      </c>
      <c r="G29" s="25">
        <f>1496080.13-G28-G27-G26</f>
        <v>504579.78999999992</v>
      </c>
      <c r="H29" s="27">
        <f>1895471.94-H28-H27-H26</f>
        <v>571364.11999999988</v>
      </c>
      <c r="I29" s="27">
        <f>1485041.87-I26-I27-I28</f>
        <v>450782.27000000008</v>
      </c>
      <c r="J29" s="27">
        <f>1547708.88-J28-J27-J26</f>
        <v>601705.98999999976</v>
      </c>
      <c r="K29" s="25">
        <f>1995267.49-K28-K27-K26</f>
        <v>853048.74</v>
      </c>
      <c r="L29" s="25">
        <f>1807776.1-L27-L28-L26</f>
        <v>881879.14000000013</v>
      </c>
      <c r="M29" s="25">
        <f>1565259.12-M28-M27-M26</f>
        <v>684564.03000000014</v>
      </c>
      <c r="N29" s="25">
        <f t="shared" si="10"/>
        <v>7046610.4400000004</v>
      </c>
      <c r="O29" s="25">
        <f>18909955.7005179-O27-O26-O28</f>
        <v>9035577.475851234</v>
      </c>
      <c r="P29" s="25">
        <f>+O29/12*$R$20</f>
        <v>9035577.475851234</v>
      </c>
      <c r="Q29" s="25">
        <f t="shared" si="11"/>
        <v>-1988967.0358512336</v>
      </c>
      <c r="R29" s="28"/>
    </row>
    <row r="30" spans="1:18" x14ac:dyDescent="0.25">
      <c r="A30" s="29" t="s">
        <v>40</v>
      </c>
      <c r="B30" s="25">
        <v>438050.82</v>
      </c>
      <c r="C30" s="25">
        <v>288798.03000000003</v>
      </c>
      <c r="D30" s="25">
        <v>231317.72</v>
      </c>
      <c r="E30" s="25">
        <v>316731.83</v>
      </c>
      <c r="F30" s="25">
        <v>295987.78000000003</v>
      </c>
      <c r="G30" s="25">
        <v>307984.68</v>
      </c>
      <c r="H30" s="27">
        <v>268026.73</v>
      </c>
      <c r="I30" s="27">
        <v>369642.86</v>
      </c>
      <c r="J30" s="27">
        <v>157865.89000000001</v>
      </c>
      <c r="K30" s="25">
        <v>308292.86</v>
      </c>
      <c r="L30" s="25">
        <v>699885.19</v>
      </c>
      <c r="M30" s="25">
        <v>388181.73</v>
      </c>
      <c r="N30" s="25">
        <f t="shared" si="10"/>
        <v>4070766.1199999996</v>
      </c>
      <c r="O30" s="25">
        <v>4768559.8650208004</v>
      </c>
      <c r="P30" s="25">
        <f>+O30/12*$R$20</f>
        <v>4768559.8650208004</v>
      </c>
      <c r="Q30" s="25">
        <f t="shared" si="11"/>
        <v>-697793.74502080074</v>
      </c>
      <c r="R30" s="43">
        <v>4.7587328311763356E-2</v>
      </c>
    </row>
    <row r="31" spans="1:18" x14ac:dyDescent="0.25">
      <c r="A31" s="29" t="s">
        <v>41</v>
      </c>
      <c r="B31" s="44">
        <v>796294.17</v>
      </c>
      <c r="C31" s="44">
        <v>796178.08</v>
      </c>
      <c r="D31" s="25">
        <v>796571.83</v>
      </c>
      <c r="E31" s="25">
        <v>796571.83</v>
      </c>
      <c r="F31" s="25">
        <v>796674.03</v>
      </c>
      <c r="G31" s="25">
        <v>800342.93</v>
      </c>
      <c r="H31" s="27">
        <v>801125.57</v>
      </c>
      <c r="I31" s="27">
        <v>818723.17</v>
      </c>
      <c r="J31" s="27">
        <v>828640.86</v>
      </c>
      <c r="K31" s="25">
        <v>834598.69</v>
      </c>
      <c r="L31" s="25">
        <v>836443.99</v>
      </c>
      <c r="M31" s="25">
        <v>840928.73</v>
      </c>
      <c r="N31" s="25">
        <f t="shared" si="10"/>
        <v>9743093.8800000008</v>
      </c>
      <c r="O31" s="25">
        <v>0</v>
      </c>
      <c r="P31" s="25">
        <f>+O31/12*$R$20</f>
        <v>0</v>
      </c>
      <c r="Q31" s="25">
        <f t="shared" si="11"/>
        <v>9743093.8800000008</v>
      </c>
      <c r="R31" s="43"/>
    </row>
    <row r="32" spans="1:18" x14ac:dyDescent="0.25">
      <c r="A32" s="45" t="s">
        <v>42</v>
      </c>
      <c r="B32" s="45"/>
      <c r="C32" s="45"/>
      <c r="D32" s="25"/>
      <c r="E32" s="25"/>
      <c r="F32" s="25"/>
      <c r="G32" s="25"/>
      <c r="H32" s="27"/>
      <c r="I32" s="25"/>
      <c r="J32" s="25"/>
      <c r="K32" s="25"/>
      <c r="L32" s="25"/>
      <c r="M32" s="25"/>
      <c r="N32" s="25"/>
      <c r="O32" s="25"/>
      <c r="P32" s="25"/>
      <c r="Q32" s="25"/>
      <c r="R32" s="28"/>
    </row>
    <row r="33" spans="1:19" x14ac:dyDescent="0.25">
      <c r="A33" s="46" t="s">
        <v>43</v>
      </c>
      <c r="B33" s="39">
        <f>+B11-B22</f>
        <v>100689.36000000034</v>
      </c>
      <c r="C33" s="39">
        <f>+C11-C22</f>
        <v>745499.54999999981</v>
      </c>
      <c r="D33" s="39">
        <f t="shared" ref="D33:M33" si="13">+D11-D22</f>
        <v>4501238.8599999985</v>
      </c>
      <c r="E33" s="39">
        <f t="shared" si="13"/>
        <v>988906.19999999925</v>
      </c>
      <c r="F33" s="39">
        <f t="shared" si="13"/>
        <v>1238774.9699999997</v>
      </c>
      <c r="G33" s="39">
        <f t="shared" si="13"/>
        <v>3551815.4200000009</v>
      </c>
      <c r="H33" s="39">
        <f t="shared" si="13"/>
        <v>2562481.4900000002</v>
      </c>
      <c r="I33" s="39">
        <f t="shared" si="13"/>
        <v>449734.14999999944</v>
      </c>
      <c r="J33" s="39">
        <f t="shared" si="13"/>
        <v>1675641.5700000012</v>
      </c>
      <c r="K33" s="39">
        <f t="shared" si="13"/>
        <v>1346283.870000001</v>
      </c>
      <c r="L33" s="39">
        <f t="shared" si="13"/>
        <v>1121252.2999999998</v>
      </c>
      <c r="M33" s="39">
        <f t="shared" si="13"/>
        <v>3510516.5500000007</v>
      </c>
      <c r="N33" s="39">
        <f>+N11-N22</f>
        <v>21792834.290000007</v>
      </c>
      <c r="O33" s="39">
        <f>+O11-O22</f>
        <v>11425378.127742469</v>
      </c>
      <c r="P33" s="39">
        <f>+P11-P22</f>
        <v>11425378.127742469</v>
      </c>
      <c r="Q33" s="39">
        <f>+N33-P33</f>
        <v>10367456.162257537</v>
      </c>
      <c r="R33" s="28">
        <f>+Q33/P33</f>
        <v>0.90740595596428053</v>
      </c>
    </row>
    <row r="34" spans="1:19" x14ac:dyDescent="0.25">
      <c r="A34" s="32" t="s">
        <v>44</v>
      </c>
      <c r="B34" s="25">
        <v>0</v>
      </c>
      <c r="C34" s="25"/>
      <c r="D34" s="25"/>
      <c r="E34" s="25"/>
      <c r="F34" s="25"/>
      <c r="G34" s="25"/>
      <c r="H34" s="27"/>
      <c r="I34" s="25"/>
      <c r="J34" s="25"/>
      <c r="K34" s="25"/>
      <c r="L34" s="25"/>
      <c r="M34" s="25"/>
      <c r="N34" s="25"/>
      <c r="O34" s="25"/>
      <c r="P34" s="25"/>
      <c r="Q34" s="25"/>
      <c r="R34" s="28"/>
    </row>
    <row r="35" spans="1:19" x14ac:dyDescent="0.25">
      <c r="A35" s="47" t="s">
        <v>45</v>
      </c>
      <c r="B35" s="21">
        <f>B36+B37+B38</f>
        <v>0</v>
      </c>
      <c r="C35" s="21">
        <f t="shared" ref="C35:M35" si="14">+C36+C37+C38</f>
        <v>94500</v>
      </c>
      <c r="D35" s="21">
        <f t="shared" si="14"/>
        <v>0</v>
      </c>
      <c r="E35" s="21">
        <f t="shared" si="14"/>
        <v>24530</v>
      </c>
      <c r="F35" s="21">
        <f t="shared" si="14"/>
        <v>203550.38</v>
      </c>
      <c r="G35" s="21">
        <f t="shared" si="14"/>
        <v>43805.7</v>
      </c>
      <c r="H35" s="21">
        <f t="shared" si="14"/>
        <v>0</v>
      </c>
      <c r="I35" s="21">
        <f t="shared" si="14"/>
        <v>6603668.75</v>
      </c>
      <c r="J35" s="21">
        <f t="shared" si="14"/>
        <v>238312.98</v>
      </c>
      <c r="K35" s="21">
        <f t="shared" si="14"/>
        <v>36526.11</v>
      </c>
      <c r="L35" s="21">
        <f t="shared" si="14"/>
        <v>570438.24</v>
      </c>
      <c r="M35" s="21">
        <f t="shared" si="14"/>
        <v>16020658.85</v>
      </c>
      <c r="N35" s="21">
        <f>+N36+N37+N38</f>
        <v>23835991.010000002</v>
      </c>
      <c r="O35" s="21">
        <f>+O36+O37+O38</f>
        <v>19791009.870000001</v>
      </c>
      <c r="P35" s="21">
        <f>+O35/12*$R$20</f>
        <v>19791009.870000001</v>
      </c>
      <c r="Q35" s="21">
        <f>+N35-P35</f>
        <v>4044981.1400000006</v>
      </c>
      <c r="R35" s="22">
        <f>+Q35/P35</f>
        <v>0.20438477705635141</v>
      </c>
      <c r="S35" s="48">
        <v>21</v>
      </c>
    </row>
    <row r="36" spans="1:19" x14ac:dyDescent="0.25">
      <c r="A36" s="24" t="s">
        <v>46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7">
        <v>0</v>
      </c>
      <c r="I36" s="49">
        <v>6603668.75</v>
      </c>
      <c r="J36" s="25">
        <v>0</v>
      </c>
      <c r="K36" s="25">
        <v>0</v>
      </c>
      <c r="L36" s="25">
        <v>45931.28</v>
      </c>
      <c r="M36" s="25">
        <v>15567357.199999999</v>
      </c>
      <c r="N36" s="25">
        <f>SUM(B36:M36)</f>
        <v>22216957.23</v>
      </c>
      <c r="O36" s="25">
        <v>17135000</v>
      </c>
      <c r="P36" s="25"/>
      <c r="Q36" s="25"/>
      <c r="R36" s="28"/>
    </row>
    <row r="37" spans="1:19" x14ac:dyDescent="0.25">
      <c r="A37" s="24" t="s">
        <v>47</v>
      </c>
      <c r="B37" s="25">
        <v>0</v>
      </c>
      <c r="C37" s="25">
        <v>0</v>
      </c>
      <c r="D37" s="25">
        <v>0</v>
      </c>
      <c r="E37" s="25">
        <v>24530</v>
      </c>
      <c r="F37" s="25">
        <v>0</v>
      </c>
      <c r="G37" s="25">
        <v>0</v>
      </c>
      <c r="H37" s="27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f>SUM(B37:M37)</f>
        <v>24530</v>
      </c>
      <c r="O37" s="25">
        <v>0</v>
      </c>
      <c r="P37" s="25"/>
      <c r="Q37" s="25"/>
      <c r="R37" s="28"/>
    </row>
    <row r="38" spans="1:19" x14ac:dyDescent="0.25">
      <c r="A38" s="24" t="s">
        <v>48</v>
      </c>
      <c r="B38" s="25">
        <v>0</v>
      </c>
      <c r="C38" s="25">
        <v>94500</v>
      </c>
      <c r="D38" s="25">
        <v>0</v>
      </c>
      <c r="E38" s="25">
        <v>0</v>
      </c>
      <c r="F38" s="25">
        <f>68203.97+135346.41</f>
        <v>203550.38</v>
      </c>
      <c r="G38" s="25">
        <v>43805.7</v>
      </c>
      <c r="H38" s="27">
        <v>0</v>
      </c>
      <c r="I38" s="27">
        <v>0</v>
      </c>
      <c r="J38" s="27">
        <v>238312.98</v>
      </c>
      <c r="K38" s="25">
        <v>36526.11</v>
      </c>
      <c r="L38" s="25">
        <f>359300+165206.96</f>
        <v>524506.96</v>
      </c>
      <c r="M38" s="25">
        <v>453301.65</v>
      </c>
      <c r="N38" s="25">
        <f>SUM(B38:M38)</f>
        <v>1594503.7799999998</v>
      </c>
      <c r="O38" s="25">
        <v>2656009.87</v>
      </c>
      <c r="P38" s="25"/>
      <c r="Q38" s="25"/>
      <c r="R38" s="28"/>
    </row>
    <row r="39" spans="1:19" x14ac:dyDescent="0.25">
      <c r="A39" s="50" t="s">
        <v>49</v>
      </c>
      <c r="B39" s="51">
        <f t="shared" ref="B39:M39" si="15">+B33-B34-B35</f>
        <v>100689.36000000034</v>
      </c>
      <c r="C39" s="51">
        <f t="shared" si="15"/>
        <v>650999.54999999981</v>
      </c>
      <c r="D39" s="51">
        <f t="shared" si="15"/>
        <v>4501238.8599999985</v>
      </c>
      <c r="E39" s="51">
        <f t="shared" si="15"/>
        <v>964376.19999999925</v>
      </c>
      <c r="F39" s="51">
        <f t="shared" si="15"/>
        <v>1035224.5899999997</v>
      </c>
      <c r="G39" s="51">
        <f t="shared" si="15"/>
        <v>3508009.7200000007</v>
      </c>
      <c r="H39" s="51">
        <f t="shared" si="15"/>
        <v>2562481.4900000002</v>
      </c>
      <c r="I39" s="51">
        <f t="shared" si="15"/>
        <v>-6153934.6000000006</v>
      </c>
      <c r="J39" s="51">
        <f t="shared" si="15"/>
        <v>1437328.5900000012</v>
      </c>
      <c r="K39" s="51">
        <f t="shared" si="15"/>
        <v>1309757.7600000009</v>
      </c>
      <c r="L39" s="51">
        <f t="shared" si="15"/>
        <v>550814.05999999982</v>
      </c>
      <c r="M39" s="51">
        <f t="shared" si="15"/>
        <v>-12510142.299999999</v>
      </c>
      <c r="N39" s="51">
        <f>+N33-N34-N35</f>
        <v>-2043156.7199999951</v>
      </c>
      <c r="O39" s="51">
        <f>+O33-O34-O35</f>
        <v>-8365631.7422575317</v>
      </c>
      <c r="P39" s="51">
        <f>+P33-P34-P35</f>
        <v>-8365631.7422575317</v>
      </c>
      <c r="Q39" s="51">
        <f>+N39-P39</f>
        <v>6322475.0222575366</v>
      </c>
      <c r="R39" s="43">
        <v>0</v>
      </c>
    </row>
    <row r="40" spans="1:19" x14ac:dyDescent="0.25">
      <c r="A40" s="32" t="s">
        <v>50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>
        <f>SUM(B40:M40)</f>
        <v>0</v>
      </c>
      <c r="O40" s="25">
        <f>SUM(C40:N40)</f>
        <v>0</v>
      </c>
      <c r="P40" s="25">
        <f>SUM(D40:O40)</f>
        <v>0</v>
      </c>
      <c r="Q40" s="25">
        <f>SUM(E40:P40)</f>
        <v>0</v>
      </c>
      <c r="R40" s="28">
        <v>0</v>
      </c>
    </row>
    <row r="41" spans="1:19" x14ac:dyDescent="0.25">
      <c r="A41" s="52" t="s">
        <v>51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8"/>
    </row>
    <row r="42" spans="1:19" x14ac:dyDescent="0.25">
      <c r="A42" s="34" t="s">
        <v>52</v>
      </c>
      <c r="B42" s="27">
        <f>SUM(B43:B45)</f>
        <v>18110358.780000001</v>
      </c>
      <c r="C42" s="27">
        <f t="shared" ref="C42:M42" si="16">SUM(C43:C45)</f>
        <v>20747327.259999998</v>
      </c>
      <c r="D42" s="27">
        <f t="shared" si="16"/>
        <v>22672066.809999999</v>
      </c>
      <c r="E42" s="27">
        <f t="shared" si="16"/>
        <v>23788465.719999999</v>
      </c>
      <c r="F42" s="27">
        <f t="shared" si="16"/>
        <v>22313414.780000001</v>
      </c>
      <c r="G42" s="27">
        <f t="shared" si="16"/>
        <v>25664816.789999999</v>
      </c>
      <c r="H42" s="27">
        <f t="shared" si="16"/>
        <v>28800160.479999997</v>
      </c>
      <c r="I42" s="27">
        <f t="shared" si="16"/>
        <v>32183816.009999998</v>
      </c>
      <c r="J42" s="27">
        <f t="shared" si="16"/>
        <v>34892067.530000001</v>
      </c>
      <c r="K42" s="27">
        <f t="shared" si="16"/>
        <v>35545610.640000001</v>
      </c>
      <c r="L42" s="27">
        <f t="shared" si="16"/>
        <v>31619048.82</v>
      </c>
      <c r="M42" s="27">
        <f t="shared" si="16"/>
        <v>28317190.009999998</v>
      </c>
      <c r="N42" s="27"/>
      <c r="O42" s="27"/>
      <c r="P42" s="25"/>
      <c r="Q42" s="25"/>
      <c r="R42" s="28"/>
    </row>
    <row r="43" spans="1:19" x14ac:dyDescent="0.25">
      <c r="A43" s="24" t="s">
        <v>53</v>
      </c>
      <c r="B43" s="25">
        <v>338206.11</v>
      </c>
      <c r="C43" s="25">
        <v>582422.02</v>
      </c>
      <c r="D43" s="25">
        <v>1070124.22</v>
      </c>
      <c r="E43" s="25">
        <v>957907.88</v>
      </c>
      <c r="F43" s="25">
        <v>2257000.71</v>
      </c>
      <c r="G43" s="25">
        <v>1151337.6000000001</v>
      </c>
      <c r="H43" s="27">
        <v>1382518.69</v>
      </c>
      <c r="I43" s="27">
        <v>731742.3</v>
      </c>
      <c r="J43" s="27">
        <v>864880.74</v>
      </c>
      <c r="K43" s="25">
        <v>254254.26</v>
      </c>
      <c r="L43" s="25">
        <v>1081903.6299999999</v>
      </c>
      <c r="M43" s="25">
        <v>666546.11</v>
      </c>
      <c r="N43" s="25"/>
      <c r="O43" s="25"/>
      <c r="P43" s="25"/>
      <c r="Q43" s="25"/>
      <c r="R43" s="28"/>
    </row>
    <row r="44" spans="1:19" x14ac:dyDescent="0.25">
      <c r="A44" s="24" t="s">
        <v>54</v>
      </c>
      <c r="B44" s="25">
        <v>500</v>
      </c>
      <c r="C44" s="25">
        <v>337577.52</v>
      </c>
      <c r="D44" s="25">
        <v>506116.28</v>
      </c>
      <c r="E44" s="25">
        <v>674655.04</v>
      </c>
      <c r="F44" s="25">
        <v>843193.8</v>
      </c>
      <c r="G44" s="25">
        <v>843193.8</v>
      </c>
      <c r="H44" s="27">
        <v>1180271.32</v>
      </c>
      <c r="I44" s="27">
        <v>1348810.08</v>
      </c>
      <c r="J44" s="27">
        <v>1517348.84</v>
      </c>
      <c r="K44" s="25">
        <v>1685887.6</v>
      </c>
      <c r="L44" s="25">
        <v>500</v>
      </c>
      <c r="M44" s="25">
        <v>500</v>
      </c>
      <c r="N44" s="25"/>
      <c r="O44" s="25"/>
      <c r="P44" s="25"/>
      <c r="Q44" s="25"/>
      <c r="R44" s="28"/>
    </row>
    <row r="45" spans="1:19" x14ac:dyDescent="0.25">
      <c r="A45" s="24" t="s">
        <v>55</v>
      </c>
      <c r="B45" s="25">
        <v>17771652.670000002</v>
      </c>
      <c r="C45" s="25">
        <v>19827327.719999999</v>
      </c>
      <c r="D45" s="25">
        <v>21095826.309999999</v>
      </c>
      <c r="E45" s="25">
        <v>22155902.800000001</v>
      </c>
      <c r="F45" s="25">
        <v>19213220.27</v>
      </c>
      <c r="G45" s="25">
        <v>23670285.390000001</v>
      </c>
      <c r="H45" s="27">
        <v>26237370.469999999</v>
      </c>
      <c r="I45" s="27">
        <v>30103263.629999999</v>
      </c>
      <c r="J45" s="27">
        <v>32509837.949999999</v>
      </c>
      <c r="K45" s="25">
        <v>33605468.780000001</v>
      </c>
      <c r="L45" s="25">
        <v>30536645.190000001</v>
      </c>
      <c r="M45" s="25">
        <v>27650143.899999999</v>
      </c>
      <c r="N45" s="25"/>
      <c r="O45" s="25"/>
      <c r="P45" s="25"/>
      <c r="Q45" s="25"/>
      <c r="R45" s="28"/>
    </row>
    <row r="46" spans="1:19" x14ac:dyDescent="0.25">
      <c r="A46" s="32" t="s">
        <v>56</v>
      </c>
      <c r="B46" s="25">
        <v>107489435.77</v>
      </c>
      <c r="C46" s="25">
        <v>110915948.98999999</v>
      </c>
      <c r="D46" s="25">
        <v>114841230.36</v>
      </c>
      <c r="E46" s="25">
        <v>116192017.19</v>
      </c>
      <c r="F46" s="25">
        <v>116118381.73</v>
      </c>
      <c r="G46" s="25">
        <v>119541196.45</v>
      </c>
      <c r="H46" s="27">
        <v>121306833.03</v>
      </c>
      <c r="I46" s="27">
        <v>122101804.42</v>
      </c>
      <c r="J46" s="27">
        <v>52342109.68</v>
      </c>
      <c r="K46" s="25">
        <v>51056547.950000003</v>
      </c>
      <c r="L46" s="25">
        <v>46683208.350000001</v>
      </c>
      <c r="M46" s="25">
        <v>46778350.079999998</v>
      </c>
      <c r="N46" s="25"/>
      <c r="O46" s="25"/>
      <c r="P46" s="25"/>
      <c r="Q46" s="25"/>
      <c r="R46" s="28"/>
    </row>
    <row r="47" spans="1:19" x14ac:dyDescent="0.25">
      <c r="A47" s="32" t="s">
        <v>57</v>
      </c>
      <c r="B47" s="25">
        <v>297218203.64999998</v>
      </c>
      <c r="C47" s="25">
        <v>299943038.79000002</v>
      </c>
      <c r="D47" s="25">
        <v>303169716.32999998</v>
      </c>
      <c r="E47" s="25">
        <v>303748461.32999998</v>
      </c>
      <c r="F47" s="25">
        <v>303142164.72000003</v>
      </c>
      <c r="G47" s="25">
        <v>307242372.81</v>
      </c>
      <c r="H47" s="27">
        <v>308279153.06999999</v>
      </c>
      <c r="I47" s="27">
        <v>308859073.45999998</v>
      </c>
      <c r="J47" s="27">
        <v>240177793.24000001</v>
      </c>
      <c r="K47" s="25">
        <v>239715231.66</v>
      </c>
      <c r="L47" s="25">
        <v>237718380.69999999</v>
      </c>
      <c r="M47" s="25">
        <v>242298174.25999999</v>
      </c>
      <c r="N47" s="25"/>
      <c r="O47" s="25"/>
      <c r="P47" s="25"/>
      <c r="Q47" s="25"/>
      <c r="R47" s="28"/>
    </row>
    <row r="48" spans="1:19" x14ac:dyDescent="0.25">
      <c r="A48" s="32" t="s">
        <v>58</v>
      </c>
      <c r="B48" s="25">
        <v>72891469.599999994</v>
      </c>
      <c r="C48" s="25">
        <v>74870805.189999998</v>
      </c>
      <c r="D48" s="25">
        <v>73596243.870000005</v>
      </c>
      <c r="E48" s="25">
        <v>73186082.670000002</v>
      </c>
      <c r="F48" s="25">
        <v>71341011.090000004</v>
      </c>
      <c r="G48" s="25">
        <v>71889403.760000005</v>
      </c>
      <c r="H48" s="27">
        <v>71855433.719999999</v>
      </c>
      <c r="I48" s="27">
        <v>71985619.959999993</v>
      </c>
      <c r="J48" s="27">
        <v>2894822.17</v>
      </c>
      <c r="K48" s="25">
        <v>3126111.72</v>
      </c>
      <c r="L48" s="25">
        <v>1486440.46</v>
      </c>
      <c r="M48" s="25">
        <v>2959121.47</v>
      </c>
      <c r="N48" s="25"/>
      <c r="O48" s="25"/>
      <c r="P48" s="25"/>
      <c r="Q48" s="25"/>
      <c r="R48" s="28"/>
    </row>
    <row r="49" spans="1:19" x14ac:dyDescent="0.25">
      <c r="A49" s="32" t="s">
        <v>59</v>
      </c>
      <c r="B49" s="25">
        <v>72891469.599999994</v>
      </c>
      <c r="C49" s="25">
        <v>74870805.189999998</v>
      </c>
      <c r="D49" s="25">
        <v>73596243.870000005</v>
      </c>
      <c r="E49" s="25">
        <v>73186082.670000002</v>
      </c>
      <c r="F49" s="25">
        <v>71341011.090000004</v>
      </c>
      <c r="G49" s="25">
        <v>71889403.760000005</v>
      </c>
      <c r="H49" s="27">
        <v>71855433.719999999</v>
      </c>
      <c r="I49" s="27">
        <v>71985619.959999993</v>
      </c>
      <c r="J49" s="27">
        <v>2894822.17</v>
      </c>
      <c r="K49" s="25">
        <v>3126111.72</v>
      </c>
      <c r="L49" s="25">
        <v>1486440.46</v>
      </c>
      <c r="M49" s="25">
        <v>2959121.47</v>
      </c>
      <c r="N49" s="25"/>
      <c r="O49" s="25"/>
      <c r="P49" s="25"/>
      <c r="Q49" s="25"/>
      <c r="R49" s="28"/>
    </row>
    <row r="50" spans="1:19" x14ac:dyDescent="0.25">
      <c r="A50" s="32" t="s">
        <v>60</v>
      </c>
      <c r="B50" s="25">
        <v>139848.98000000001</v>
      </c>
      <c r="C50" s="25">
        <v>291227.12</v>
      </c>
      <c r="D50" s="25">
        <v>458310.72</v>
      </c>
      <c r="E50" s="25">
        <v>160594.20000000001</v>
      </c>
      <c r="F50" s="25">
        <v>302043.53000000003</v>
      </c>
      <c r="G50" s="25">
        <v>476247.1</v>
      </c>
      <c r="H50" s="27">
        <v>187935.11</v>
      </c>
      <c r="I50" s="27">
        <v>353386.2</v>
      </c>
      <c r="J50" s="27">
        <v>506974.62</v>
      </c>
      <c r="K50" s="25">
        <v>148507.88</v>
      </c>
      <c r="L50" s="25">
        <v>303853.62</v>
      </c>
      <c r="M50" s="25">
        <v>455614.59</v>
      </c>
      <c r="N50" s="25"/>
      <c r="O50" s="25"/>
      <c r="P50" s="25"/>
      <c r="Q50" s="25"/>
      <c r="R50" s="28"/>
    </row>
    <row r="51" spans="1:19" x14ac:dyDescent="0.2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25"/>
      <c r="L51" s="54"/>
      <c r="M51" s="54"/>
      <c r="N51" s="54"/>
      <c r="O51" s="54"/>
      <c r="P51" s="54"/>
      <c r="Q51" s="54"/>
      <c r="R51" s="28"/>
    </row>
    <row r="52" spans="1:19" ht="15.75" x14ac:dyDescent="0.25">
      <c r="A52" s="55" t="s">
        <v>61</v>
      </c>
      <c r="B52" s="56">
        <f>+B53+B54+B55</f>
        <v>346939</v>
      </c>
      <c r="C52" s="56">
        <f>+C53+C54+C55</f>
        <v>258188</v>
      </c>
      <c r="D52" s="56">
        <f>SUM(D53:D55)</f>
        <v>356565</v>
      </c>
      <c r="E52" s="56">
        <f>SUM(E53:E55)</f>
        <v>369883</v>
      </c>
      <c r="F52" s="56">
        <f>SUM(F53:F55)</f>
        <v>374470</v>
      </c>
      <c r="G52" s="56">
        <f>SUM(G53:G55)</f>
        <v>415927</v>
      </c>
      <c r="H52" s="56">
        <f>SUM(H53:H56)</f>
        <v>378696</v>
      </c>
      <c r="I52" s="56">
        <f>+I53+I54+I55</f>
        <v>339883</v>
      </c>
      <c r="J52" s="56">
        <f>+J53+J54+J55</f>
        <v>380791</v>
      </c>
      <c r="K52" s="56">
        <f>+K53+K54+K55</f>
        <v>361834</v>
      </c>
      <c r="L52" s="56">
        <f>+L53+L54+L55</f>
        <v>327755</v>
      </c>
      <c r="M52" s="56">
        <f>+M53+M54+M55</f>
        <v>479847</v>
      </c>
      <c r="N52" s="56">
        <f>SUM(N53:N55)</f>
        <v>0</v>
      </c>
      <c r="O52" s="56"/>
      <c r="P52" s="56"/>
      <c r="Q52" s="56"/>
      <c r="R52" s="56"/>
      <c r="S52" s="48">
        <v>9</v>
      </c>
    </row>
    <row r="53" spans="1:19" x14ac:dyDescent="0.25">
      <c r="A53" s="32" t="s">
        <v>62</v>
      </c>
      <c r="B53" s="57">
        <v>292335</v>
      </c>
      <c r="C53" s="57">
        <v>205852</v>
      </c>
      <c r="D53" s="57">
        <v>302741</v>
      </c>
      <c r="E53" s="57">
        <v>308507</v>
      </c>
      <c r="F53" s="57">
        <v>304358</v>
      </c>
      <c r="G53" s="57">
        <v>346423</v>
      </c>
      <c r="H53" s="58">
        <v>324920</v>
      </c>
      <c r="I53" s="58">
        <v>286459</v>
      </c>
      <c r="J53" s="58">
        <v>322695</v>
      </c>
      <c r="K53" s="25">
        <v>302138</v>
      </c>
      <c r="L53" s="57">
        <v>266460</v>
      </c>
      <c r="M53" s="57">
        <v>418835</v>
      </c>
      <c r="N53" s="57"/>
      <c r="O53" s="57"/>
      <c r="P53" s="57"/>
      <c r="Q53" s="57"/>
      <c r="R53" s="57"/>
    </row>
    <row r="54" spans="1:19" ht="15" customHeight="1" x14ac:dyDescent="0.25">
      <c r="A54" s="32" t="s">
        <v>63</v>
      </c>
      <c r="B54" s="57">
        <v>0</v>
      </c>
      <c r="C54" s="57">
        <v>0</v>
      </c>
      <c r="D54" s="57">
        <v>0</v>
      </c>
      <c r="E54" s="57"/>
      <c r="F54" s="57"/>
      <c r="G54" s="57"/>
      <c r="H54" s="58"/>
      <c r="I54" s="58"/>
      <c r="J54" s="58"/>
      <c r="K54" s="25"/>
      <c r="L54" s="57"/>
      <c r="M54" s="57"/>
      <c r="N54" s="57"/>
      <c r="O54" s="57"/>
      <c r="P54" s="57"/>
      <c r="Q54" s="57"/>
      <c r="R54" s="57"/>
    </row>
    <row r="55" spans="1:19" ht="15" customHeight="1" x14ac:dyDescent="0.25">
      <c r="A55" s="32" t="s">
        <v>64</v>
      </c>
      <c r="B55" s="57">
        <v>54604</v>
      </c>
      <c r="C55" s="57">
        <v>52336</v>
      </c>
      <c r="D55" s="57">
        <v>53824</v>
      </c>
      <c r="E55" s="57">
        <v>61376</v>
      </c>
      <c r="F55" s="57">
        <v>70112</v>
      </c>
      <c r="G55" s="57">
        <v>69504</v>
      </c>
      <c r="H55" s="58">
        <v>53776</v>
      </c>
      <c r="I55" s="58">
        <v>53424</v>
      </c>
      <c r="J55" s="58">
        <v>58096</v>
      </c>
      <c r="K55" s="25">
        <v>59696</v>
      </c>
      <c r="L55" s="57">
        <v>61295</v>
      </c>
      <c r="M55" s="57">
        <v>61012</v>
      </c>
      <c r="N55" s="57"/>
      <c r="O55" s="57"/>
      <c r="P55" s="57"/>
      <c r="Q55" s="57"/>
      <c r="R55" s="57"/>
    </row>
    <row r="56" spans="1:19" ht="15" customHeight="1" x14ac:dyDescent="0.25">
      <c r="A56" s="34"/>
      <c r="B56" s="57"/>
      <c r="C56" s="57"/>
      <c r="D56" s="57"/>
      <c r="E56" s="57"/>
      <c r="F56" s="57"/>
      <c r="G56" s="57"/>
      <c r="H56" s="58"/>
      <c r="I56" s="58"/>
      <c r="J56" s="58"/>
      <c r="K56" s="25"/>
      <c r="L56" s="57"/>
      <c r="M56" s="57"/>
      <c r="N56" s="57"/>
      <c r="O56" s="57"/>
      <c r="P56" s="57"/>
      <c r="Q56" s="57"/>
      <c r="R56" s="57"/>
    </row>
    <row r="57" spans="1:19" ht="15.75" x14ac:dyDescent="0.25">
      <c r="A57" s="59" t="s">
        <v>65</v>
      </c>
      <c r="B57" s="56">
        <f>+B58+B59+B60</f>
        <v>655188.47</v>
      </c>
      <c r="C57" s="56">
        <f>+C58+C59+C60</f>
        <v>680762.66999999993</v>
      </c>
      <c r="D57" s="56">
        <f>+D58+D59+D60</f>
        <v>538920.05000000005</v>
      </c>
      <c r="E57" s="56">
        <f>+E58+E59+E60</f>
        <v>703272.46</v>
      </c>
      <c r="F57" s="56">
        <f t="shared" ref="F57:M57" si="17">+F58+F59+F60</f>
        <v>751264.2</v>
      </c>
      <c r="G57" s="56">
        <f t="shared" si="17"/>
        <v>786860.69</v>
      </c>
      <c r="H57" s="56">
        <f t="shared" si="17"/>
        <v>882796.93</v>
      </c>
      <c r="I57" s="56">
        <f t="shared" si="17"/>
        <v>793633.17</v>
      </c>
      <c r="J57" s="56">
        <f t="shared" si="17"/>
        <v>715613.83000000007</v>
      </c>
      <c r="K57" s="56">
        <f t="shared" si="17"/>
        <v>792864.54999999993</v>
      </c>
      <c r="L57" s="56">
        <f t="shared" si="17"/>
        <v>737074.35000000009</v>
      </c>
      <c r="M57" s="56">
        <f t="shared" si="17"/>
        <v>678468.64999999991</v>
      </c>
      <c r="N57" s="56"/>
      <c r="O57" s="56"/>
      <c r="P57" s="56"/>
      <c r="Q57" s="56"/>
      <c r="R57" s="56"/>
      <c r="S57" s="48">
        <v>8</v>
      </c>
    </row>
    <row r="58" spans="1:19" x14ac:dyDescent="0.25">
      <c r="A58" s="32" t="s">
        <v>62</v>
      </c>
      <c r="B58" s="57">
        <v>525824.74</v>
      </c>
      <c r="C58" s="57">
        <v>561276.48</v>
      </c>
      <c r="D58" s="57">
        <v>425106.23</v>
      </c>
      <c r="E58" s="60">
        <v>585996.52</v>
      </c>
      <c r="F58" s="57">
        <v>620205.72</v>
      </c>
      <c r="G58" s="57">
        <v>639366.6</v>
      </c>
      <c r="H58" s="58">
        <v>717530.53</v>
      </c>
      <c r="I58" s="58">
        <v>661638.30000000005</v>
      </c>
      <c r="J58" s="58">
        <v>586169.04</v>
      </c>
      <c r="K58" s="25">
        <v>660929.96</v>
      </c>
      <c r="L58" s="57">
        <v>608184.78</v>
      </c>
      <c r="M58" s="57">
        <v>543685.85</v>
      </c>
      <c r="N58" s="57"/>
      <c r="O58" s="57"/>
      <c r="P58" s="57"/>
      <c r="Q58" s="57"/>
      <c r="R58" s="57"/>
    </row>
    <row r="59" spans="1:19" x14ac:dyDescent="0.25">
      <c r="A59" s="32" t="s">
        <v>63</v>
      </c>
      <c r="B59" s="57">
        <v>0</v>
      </c>
      <c r="C59" s="57">
        <v>0</v>
      </c>
      <c r="D59" s="57">
        <v>0</v>
      </c>
      <c r="E59" s="60">
        <v>0</v>
      </c>
      <c r="F59" s="57"/>
      <c r="G59" s="57"/>
      <c r="H59" s="58"/>
      <c r="I59" s="58"/>
      <c r="J59" s="58"/>
      <c r="K59" s="25"/>
      <c r="L59" s="57"/>
      <c r="M59" s="57"/>
      <c r="N59" s="57"/>
      <c r="O59" s="57"/>
      <c r="P59" s="57"/>
      <c r="Q59" s="57"/>
      <c r="R59" s="57"/>
    </row>
    <row r="60" spans="1:19" x14ac:dyDescent="0.25">
      <c r="A60" s="32" t="s">
        <v>64</v>
      </c>
      <c r="B60" s="57">
        <v>129363.73</v>
      </c>
      <c r="C60" s="57">
        <v>119486.19</v>
      </c>
      <c r="D60" s="57">
        <v>113813.82</v>
      </c>
      <c r="E60" s="60">
        <v>117275.94</v>
      </c>
      <c r="F60" s="57">
        <v>131058.48</v>
      </c>
      <c r="G60" s="57">
        <v>147494.09</v>
      </c>
      <c r="H60" s="58">
        <v>165266.4</v>
      </c>
      <c r="I60" s="58">
        <v>131994.87</v>
      </c>
      <c r="J60" s="58">
        <v>129444.79</v>
      </c>
      <c r="K60" s="25">
        <v>131934.59</v>
      </c>
      <c r="L60" s="57">
        <v>128889.57</v>
      </c>
      <c r="M60" s="57">
        <v>134782.79999999999</v>
      </c>
      <c r="N60" s="57"/>
      <c r="O60" s="57"/>
      <c r="P60" s="57"/>
      <c r="Q60" s="57"/>
      <c r="R60" s="57"/>
    </row>
    <row r="61" spans="1:19" x14ac:dyDescent="0.25">
      <c r="A61" s="61"/>
      <c r="B61" s="57"/>
      <c r="C61" s="57"/>
      <c r="D61" s="57"/>
      <c r="E61" s="60"/>
      <c r="F61" s="57"/>
      <c r="G61" s="57"/>
      <c r="H61" s="58"/>
      <c r="I61" s="58"/>
      <c r="J61" s="58"/>
      <c r="K61" s="25"/>
      <c r="L61" s="57"/>
      <c r="M61" s="57"/>
      <c r="N61" s="57"/>
      <c r="O61" s="57"/>
      <c r="P61" s="57"/>
      <c r="Q61" s="57"/>
      <c r="R61" s="57"/>
    </row>
    <row r="62" spans="1:19" x14ac:dyDescent="0.25">
      <c r="A62" s="62" t="s">
        <v>66</v>
      </c>
      <c r="B62" s="63" t="s">
        <v>67</v>
      </c>
      <c r="C62" s="63" t="s">
        <v>67</v>
      </c>
      <c r="D62" s="63" t="s">
        <v>67</v>
      </c>
      <c r="E62" s="63" t="s">
        <v>67</v>
      </c>
      <c r="F62" s="63" t="s">
        <v>67</v>
      </c>
      <c r="G62" s="63" t="s">
        <v>67</v>
      </c>
      <c r="H62" s="63" t="s">
        <v>67</v>
      </c>
      <c r="I62" s="63" t="s">
        <v>67</v>
      </c>
      <c r="J62" s="63" t="s">
        <v>67</v>
      </c>
      <c r="K62" s="63" t="s">
        <v>67</v>
      </c>
      <c r="L62" s="63" t="s">
        <v>67</v>
      </c>
      <c r="M62" s="63" t="s">
        <v>67</v>
      </c>
      <c r="N62" s="63"/>
      <c r="O62" s="63"/>
      <c r="P62" s="63"/>
      <c r="Q62" s="63"/>
      <c r="R62" s="63"/>
    </row>
    <row r="63" spans="1:19" x14ac:dyDescent="0.25">
      <c r="A63" s="62" t="s">
        <v>68</v>
      </c>
      <c r="B63" s="63" t="s">
        <v>67</v>
      </c>
      <c r="C63" s="63" t="s">
        <v>67</v>
      </c>
      <c r="D63" s="63" t="s">
        <v>67</v>
      </c>
      <c r="E63" s="63" t="s">
        <v>67</v>
      </c>
      <c r="F63" s="63" t="s">
        <v>67</v>
      </c>
      <c r="G63" s="63" t="s">
        <v>67</v>
      </c>
      <c r="H63" s="63" t="s">
        <v>67</v>
      </c>
      <c r="I63" s="63" t="s">
        <v>67</v>
      </c>
      <c r="J63" s="63" t="s">
        <v>67</v>
      </c>
      <c r="K63" s="25" t="s">
        <v>67</v>
      </c>
      <c r="L63" s="63" t="s">
        <v>67</v>
      </c>
      <c r="M63" s="63" t="s">
        <v>67</v>
      </c>
      <c r="N63" s="63"/>
      <c r="O63" s="63"/>
      <c r="P63" s="63"/>
      <c r="Q63" s="63"/>
      <c r="R63" s="63"/>
    </row>
    <row r="64" spans="1:19" x14ac:dyDescent="0.25">
      <c r="A64" s="64"/>
      <c r="B64" s="63"/>
      <c r="C64" s="63"/>
      <c r="D64" s="63"/>
      <c r="E64" s="63"/>
      <c r="F64" s="63"/>
      <c r="G64" s="63"/>
      <c r="H64" s="63"/>
      <c r="I64" s="63"/>
      <c r="J64" s="63"/>
      <c r="K64" s="25"/>
      <c r="L64" s="63"/>
      <c r="M64" s="63"/>
      <c r="N64" s="63"/>
      <c r="O64" s="63"/>
      <c r="P64" s="63"/>
      <c r="Q64" s="63"/>
      <c r="R64" s="63"/>
    </row>
    <row r="65" spans="1:19" x14ac:dyDescent="0.25">
      <c r="A65" s="52" t="s">
        <v>69</v>
      </c>
      <c r="B65" s="57"/>
      <c r="C65" s="57"/>
      <c r="D65" s="57"/>
      <c r="E65" s="57"/>
      <c r="F65" s="57"/>
      <c r="G65" s="57"/>
      <c r="H65" s="57"/>
      <c r="I65" s="57"/>
      <c r="J65" s="57"/>
      <c r="K65" s="25"/>
      <c r="L65" s="57"/>
      <c r="M65" s="57"/>
      <c r="N65" s="57"/>
      <c r="O65" s="57"/>
      <c r="P65" s="57"/>
      <c r="Q65" s="57"/>
      <c r="R65" s="57"/>
    </row>
    <row r="66" spans="1:19" ht="17.25" x14ac:dyDescent="0.25">
      <c r="A66" s="59" t="s">
        <v>70</v>
      </c>
      <c r="B66" s="65">
        <f>+B67+B70</f>
        <v>399065</v>
      </c>
      <c r="C66" s="65">
        <f>+C67+C70</f>
        <v>319638</v>
      </c>
      <c r="D66" s="65">
        <f>+D67+D70</f>
        <v>414988</v>
      </c>
      <c r="E66" s="65">
        <f t="shared" ref="E66:M66" si="18">+E67+E70</f>
        <v>356375</v>
      </c>
      <c r="F66" s="65">
        <f t="shared" si="18"/>
        <v>456059</v>
      </c>
      <c r="G66" s="65">
        <f t="shared" si="18"/>
        <v>471151</v>
      </c>
      <c r="H66" s="65">
        <f t="shared" si="18"/>
        <v>375743</v>
      </c>
      <c r="I66" s="65">
        <f t="shared" si="18"/>
        <v>423392</v>
      </c>
      <c r="J66" s="65">
        <f t="shared" si="18"/>
        <v>405937</v>
      </c>
      <c r="K66" s="65">
        <f t="shared" si="18"/>
        <v>387937</v>
      </c>
      <c r="L66" s="65">
        <f t="shared" si="18"/>
        <v>415958</v>
      </c>
      <c r="M66" s="65">
        <f t="shared" si="18"/>
        <v>406495</v>
      </c>
      <c r="N66" s="56"/>
      <c r="O66" s="56"/>
      <c r="P66" s="56"/>
      <c r="Q66" s="56"/>
      <c r="R66" s="56"/>
      <c r="S66" s="48">
        <v>1</v>
      </c>
    </row>
    <row r="67" spans="1:19" x14ac:dyDescent="0.25">
      <c r="A67" s="32" t="s">
        <v>71</v>
      </c>
      <c r="B67" s="57">
        <v>399065</v>
      </c>
      <c r="C67" s="57">
        <v>319638</v>
      </c>
      <c r="D67" s="66">
        <v>414988</v>
      </c>
      <c r="E67" s="67">
        <v>356375</v>
      </c>
      <c r="F67" s="67">
        <v>456059</v>
      </c>
      <c r="G67" s="57">
        <v>471151</v>
      </c>
      <c r="H67" s="57">
        <v>375743</v>
      </c>
      <c r="I67" s="57">
        <v>423392</v>
      </c>
      <c r="J67" s="66">
        <v>405937</v>
      </c>
      <c r="K67" s="68">
        <v>387937</v>
      </c>
      <c r="L67" s="57">
        <v>415958</v>
      </c>
      <c r="M67" s="57">
        <v>406495</v>
      </c>
      <c r="N67" s="57"/>
      <c r="O67" s="57"/>
      <c r="P67" s="57"/>
      <c r="Q67" s="57"/>
      <c r="R67" s="57"/>
    </row>
    <row r="68" spans="1:19" x14ac:dyDescent="0.25">
      <c r="A68" s="32" t="s">
        <v>72</v>
      </c>
      <c r="B68" s="57">
        <v>0</v>
      </c>
      <c r="C68" s="57">
        <v>0</v>
      </c>
      <c r="D68" s="6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67">
        <v>0</v>
      </c>
      <c r="K68" s="25">
        <v>0</v>
      </c>
      <c r="L68" s="57">
        <v>0</v>
      </c>
      <c r="M68" s="57">
        <v>0</v>
      </c>
      <c r="N68" s="57"/>
      <c r="O68" s="57"/>
      <c r="P68" s="57"/>
      <c r="Q68" s="57"/>
      <c r="R68" s="57"/>
    </row>
    <row r="69" spans="1:19" x14ac:dyDescent="0.25">
      <c r="A69" s="32" t="s">
        <v>73</v>
      </c>
      <c r="B69" s="57">
        <v>0</v>
      </c>
      <c r="C69" s="57">
        <v>0</v>
      </c>
      <c r="D69" s="67">
        <v>0</v>
      </c>
      <c r="E69" s="67">
        <v>0</v>
      </c>
      <c r="F69" s="57">
        <v>0</v>
      </c>
      <c r="G69" s="57">
        <v>0</v>
      </c>
      <c r="H69" s="57">
        <v>0</v>
      </c>
      <c r="I69" s="57">
        <v>0</v>
      </c>
      <c r="J69" s="67">
        <v>0</v>
      </c>
      <c r="K69" s="25">
        <v>0</v>
      </c>
      <c r="L69" s="57">
        <v>0</v>
      </c>
      <c r="M69" s="57">
        <v>0</v>
      </c>
      <c r="N69" s="57"/>
      <c r="O69" s="57"/>
      <c r="P69" s="57"/>
      <c r="Q69" s="57"/>
      <c r="R69" s="57"/>
    </row>
    <row r="70" spans="1:19" x14ac:dyDescent="0.25">
      <c r="A70" s="69" t="s">
        <v>74</v>
      </c>
      <c r="B70" s="57">
        <v>0</v>
      </c>
      <c r="C70" s="57">
        <v>0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  <c r="I70" s="57">
        <v>0</v>
      </c>
      <c r="J70" s="67">
        <v>0</v>
      </c>
      <c r="K70" s="70">
        <v>0</v>
      </c>
      <c r="L70" s="57">
        <v>0</v>
      </c>
      <c r="M70" s="57">
        <v>0</v>
      </c>
      <c r="N70" s="57"/>
      <c r="O70" s="57"/>
      <c r="P70" s="57"/>
      <c r="Q70" s="57"/>
      <c r="R70" s="57"/>
    </row>
    <row r="71" spans="1:19" x14ac:dyDescent="0.25">
      <c r="A71" s="71"/>
      <c r="B71" s="72"/>
      <c r="C71" s="72"/>
      <c r="D71" s="63"/>
      <c r="E71" s="63"/>
      <c r="F71" s="72"/>
      <c r="G71" s="63"/>
      <c r="H71" s="63"/>
      <c r="I71" s="72"/>
      <c r="J71" s="63"/>
      <c r="K71" s="25"/>
      <c r="L71" s="72"/>
      <c r="M71" s="72"/>
      <c r="N71" s="72"/>
      <c r="O71" s="72"/>
      <c r="P71" s="72"/>
      <c r="Q71" s="72"/>
      <c r="R71" s="72"/>
    </row>
    <row r="72" spans="1:19" ht="15.75" x14ac:dyDescent="0.25">
      <c r="A72" s="73" t="s">
        <v>75</v>
      </c>
      <c r="B72" s="39">
        <f>+B73+B74+B75+B76+B77</f>
        <v>299600</v>
      </c>
      <c r="C72" s="39">
        <f>SUM(C73:C77)</f>
        <v>255206</v>
      </c>
      <c r="D72" s="39">
        <f>SUM(D73:D77)</f>
        <v>229748</v>
      </c>
      <c r="E72" s="39">
        <f t="shared" ref="E72:M72" si="19">SUM(E73:E77)</f>
        <v>311152</v>
      </c>
      <c r="F72" s="39">
        <f t="shared" si="19"/>
        <v>306710</v>
      </c>
      <c r="G72" s="39">
        <f t="shared" si="19"/>
        <v>334714</v>
      </c>
      <c r="H72" s="39">
        <f t="shared" si="19"/>
        <v>313971</v>
      </c>
      <c r="I72" s="39">
        <f t="shared" si="19"/>
        <v>300107</v>
      </c>
      <c r="J72" s="39">
        <f t="shared" si="19"/>
        <v>296359</v>
      </c>
      <c r="K72" s="39">
        <f t="shared" si="19"/>
        <v>299603</v>
      </c>
      <c r="L72" s="39">
        <f t="shared" si="19"/>
        <v>290742</v>
      </c>
      <c r="M72" s="39">
        <f t="shared" si="19"/>
        <v>260378</v>
      </c>
      <c r="N72" s="39">
        <f>SUM(N73:N77)</f>
        <v>3498290</v>
      </c>
      <c r="O72" s="39"/>
      <c r="P72" s="39"/>
      <c r="Q72" s="39"/>
      <c r="R72" s="39"/>
      <c r="S72" s="48">
        <v>2</v>
      </c>
    </row>
    <row r="73" spans="1:19" x14ac:dyDescent="0.25">
      <c r="A73" s="32" t="s">
        <v>76</v>
      </c>
      <c r="B73" s="57">
        <v>266746</v>
      </c>
      <c r="C73" s="57">
        <v>229998</v>
      </c>
      <c r="D73" s="74">
        <f>229748-D74-D75-D76-D77</f>
        <v>214812</v>
      </c>
      <c r="E73" s="57">
        <v>278585</v>
      </c>
      <c r="F73" s="57">
        <v>272943</v>
      </c>
      <c r="G73" s="57">
        <v>298061</v>
      </c>
      <c r="H73" s="57">
        <v>276077</v>
      </c>
      <c r="I73" s="57">
        <v>268071</v>
      </c>
      <c r="J73" s="57">
        <v>262889</v>
      </c>
      <c r="K73" s="25">
        <v>263426</v>
      </c>
      <c r="L73" s="57">
        <v>255375</v>
      </c>
      <c r="M73" s="57">
        <v>230167</v>
      </c>
      <c r="N73" s="57">
        <f>SUM(B73:M73)</f>
        <v>3117150</v>
      </c>
      <c r="O73" s="57">
        <f>N73*0.01</f>
        <v>31171.5</v>
      </c>
      <c r="P73" s="57"/>
      <c r="Q73" s="57"/>
      <c r="R73" s="57"/>
    </row>
    <row r="74" spans="1:19" x14ac:dyDescent="0.25">
      <c r="A74" s="32" t="s">
        <v>77</v>
      </c>
      <c r="B74" s="57">
        <v>24702</v>
      </c>
      <c r="C74" s="57">
        <v>19066</v>
      </c>
      <c r="D74" s="74">
        <v>9186</v>
      </c>
      <c r="E74" s="57">
        <v>23181</v>
      </c>
      <c r="F74" s="57">
        <v>23968</v>
      </c>
      <c r="G74" s="57">
        <v>26927</v>
      </c>
      <c r="H74" s="57">
        <v>27967</v>
      </c>
      <c r="I74" s="57">
        <v>24847</v>
      </c>
      <c r="J74" s="57">
        <v>24017</v>
      </c>
      <c r="K74" s="25">
        <v>26907</v>
      </c>
      <c r="L74" s="57">
        <v>25856</v>
      </c>
      <c r="M74" s="57">
        <v>23099</v>
      </c>
      <c r="N74" s="57">
        <f>SUM(B74:M74)</f>
        <v>279723</v>
      </c>
      <c r="O74" s="57"/>
      <c r="P74" s="57"/>
      <c r="Q74" s="57"/>
      <c r="R74" s="57"/>
    </row>
    <row r="75" spans="1:19" x14ac:dyDescent="0.25">
      <c r="A75" s="32" t="s">
        <v>78</v>
      </c>
      <c r="B75" s="57">
        <v>2257</v>
      </c>
      <c r="C75" s="57">
        <v>2717</v>
      </c>
      <c r="D75" s="74">
        <v>2535</v>
      </c>
      <c r="E75" s="57">
        <v>3243</v>
      </c>
      <c r="F75" s="57">
        <v>3298</v>
      </c>
      <c r="G75" s="57">
        <v>3367</v>
      </c>
      <c r="H75" s="57">
        <v>4139</v>
      </c>
      <c r="I75" s="57">
        <v>3375</v>
      </c>
      <c r="J75" s="57">
        <v>3197</v>
      </c>
      <c r="K75" s="25">
        <v>3444</v>
      </c>
      <c r="L75" s="57">
        <v>2913</v>
      </c>
      <c r="M75" s="57">
        <v>2239</v>
      </c>
      <c r="N75" s="57">
        <f>SUM(B75:M75)</f>
        <v>36724</v>
      </c>
      <c r="O75" s="57"/>
      <c r="P75" s="57"/>
      <c r="Q75" s="57"/>
      <c r="R75" s="57"/>
    </row>
    <row r="76" spans="1:19" x14ac:dyDescent="0.25">
      <c r="A76" s="32" t="s">
        <v>79</v>
      </c>
      <c r="B76" s="57">
        <v>4474</v>
      </c>
      <c r="C76" s="57">
        <v>2651</v>
      </c>
      <c r="D76" s="74">
        <v>2514</v>
      </c>
      <c r="E76" s="57">
        <v>4707</v>
      </c>
      <c r="F76" s="57">
        <v>5002</v>
      </c>
      <c r="G76" s="57">
        <v>4359</v>
      </c>
      <c r="H76" s="57">
        <v>4158</v>
      </c>
      <c r="I76" s="57">
        <v>2432</v>
      </c>
      <c r="J76" s="57">
        <v>4842</v>
      </c>
      <c r="K76" s="25">
        <v>4529</v>
      </c>
      <c r="L76" s="57">
        <v>5085</v>
      </c>
      <c r="M76" s="57">
        <v>3545</v>
      </c>
      <c r="N76" s="57">
        <f>SUM(B76:M76)</f>
        <v>48298</v>
      </c>
      <c r="O76" s="57"/>
      <c r="P76" s="57"/>
      <c r="Q76" s="57"/>
      <c r="R76" s="57"/>
      <c r="S76" s="48">
        <v>22</v>
      </c>
    </row>
    <row r="77" spans="1:19" x14ac:dyDescent="0.25">
      <c r="A77" s="32" t="s">
        <v>80</v>
      </c>
      <c r="B77" s="57">
        <v>1421</v>
      </c>
      <c r="C77" s="57">
        <v>774</v>
      </c>
      <c r="D77" s="74">
        <v>701</v>
      </c>
      <c r="E77" s="57">
        <v>1436</v>
      </c>
      <c r="F77" s="57">
        <v>1499</v>
      </c>
      <c r="G77" s="57">
        <v>2000</v>
      </c>
      <c r="H77" s="57">
        <v>1630</v>
      </c>
      <c r="I77" s="57">
        <v>1382</v>
      </c>
      <c r="J77" s="57">
        <v>1414</v>
      </c>
      <c r="K77" s="25">
        <v>1297</v>
      </c>
      <c r="L77" s="57">
        <v>1513</v>
      </c>
      <c r="M77" s="57">
        <v>1328</v>
      </c>
      <c r="N77" s="57">
        <f>SUM(B77:M77)</f>
        <v>16395</v>
      </c>
      <c r="O77" s="57"/>
      <c r="P77" s="57"/>
      <c r="Q77" s="57"/>
      <c r="R77" s="57"/>
      <c r="S77" s="48">
        <v>22</v>
      </c>
    </row>
    <row r="78" spans="1:19" x14ac:dyDescent="0.25">
      <c r="A78" s="34"/>
      <c r="B78" s="57"/>
      <c r="C78" s="57"/>
      <c r="D78" s="57"/>
      <c r="E78" s="57"/>
      <c r="F78" s="57"/>
      <c r="G78" s="57"/>
      <c r="H78" s="57"/>
      <c r="I78" s="57"/>
      <c r="J78" s="57"/>
      <c r="K78" s="25"/>
      <c r="L78" s="57"/>
      <c r="M78" s="57"/>
      <c r="N78" s="57"/>
      <c r="O78" s="57"/>
      <c r="P78" s="57"/>
      <c r="Q78" s="57"/>
      <c r="R78" s="57"/>
    </row>
    <row r="79" spans="1:19" x14ac:dyDescent="0.25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25"/>
      <c r="L79" s="76"/>
      <c r="M79" s="76"/>
      <c r="N79" s="76"/>
      <c r="O79" s="76"/>
      <c r="P79" s="76"/>
      <c r="Q79" s="76"/>
      <c r="R79" s="76"/>
    </row>
    <row r="80" spans="1:19" ht="15.75" x14ac:dyDescent="0.25">
      <c r="A80" s="73" t="s">
        <v>81</v>
      </c>
      <c r="B80" s="39">
        <f>+B81+B82</f>
        <v>251125</v>
      </c>
      <c r="C80" s="39">
        <f t="shared" ref="C80:M80" si="20">SUM(C81:C82)</f>
        <v>232869</v>
      </c>
      <c r="D80" s="39">
        <f t="shared" si="20"/>
        <v>254190</v>
      </c>
      <c r="E80" s="39">
        <f t="shared" si="20"/>
        <v>283841</v>
      </c>
      <c r="F80" s="39">
        <f t="shared" si="20"/>
        <v>243747</v>
      </c>
      <c r="G80" s="39">
        <f t="shared" si="20"/>
        <v>301228</v>
      </c>
      <c r="H80" s="39">
        <f t="shared" si="20"/>
        <v>287091</v>
      </c>
      <c r="I80" s="39">
        <f t="shared" si="20"/>
        <v>255864</v>
      </c>
      <c r="J80" s="39">
        <f t="shared" si="20"/>
        <v>245543</v>
      </c>
      <c r="K80" s="39">
        <f t="shared" si="20"/>
        <v>242046</v>
      </c>
      <c r="L80" s="39">
        <f t="shared" si="20"/>
        <v>246626</v>
      </c>
      <c r="M80" s="39">
        <f t="shared" si="20"/>
        <v>243238</v>
      </c>
      <c r="N80" s="39">
        <f>SUM(B80:M80)</f>
        <v>3087408</v>
      </c>
      <c r="O80" s="39"/>
      <c r="P80" s="39"/>
      <c r="Q80" s="39"/>
      <c r="R80" s="39"/>
    </row>
    <row r="81" spans="1:19" x14ac:dyDescent="0.25">
      <c r="A81" s="32" t="s">
        <v>82</v>
      </c>
      <c r="B81" s="57">
        <v>224509</v>
      </c>
      <c r="C81" s="57">
        <v>207262</v>
      </c>
      <c r="D81" s="57">
        <v>218888</v>
      </c>
      <c r="E81" s="57">
        <v>254048</v>
      </c>
      <c r="F81" s="57">
        <v>214543</v>
      </c>
      <c r="G81" s="57">
        <v>263099</v>
      </c>
      <c r="H81" s="57">
        <v>250435</v>
      </c>
      <c r="I81" s="57">
        <v>220500</v>
      </c>
      <c r="J81" s="57">
        <v>214028</v>
      </c>
      <c r="K81" s="25">
        <v>212038</v>
      </c>
      <c r="L81" s="57">
        <v>212380</v>
      </c>
      <c r="M81" s="57">
        <v>209647</v>
      </c>
      <c r="N81" s="57">
        <f>SUM(B81:M81)</f>
        <v>2701377</v>
      </c>
      <c r="O81" s="57"/>
      <c r="P81" s="57"/>
      <c r="Q81" s="57"/>
      <c r="R81" s="57"/>
      <c r="S81" s="48">
        <v>3</v>
      </c>
    </row>
    <row r="82" spans="1:19" x14ac:dyDescent="0.25">
      <c r="A82" s="32" t="s">
        <v>83</v>
      </c>
      <c r="B82" s="57">
        <v>26616</v>
      </c>
      <c r="C82" s="57">
        <v>25607</v>
      </c>
      <c r="D82" s="57">
        <v>35302</v>
      </c>
      <c r="E82" s="57">
        <v>29793</v>
      </c>
      <c r="F82" s="57">
        <v>29204</v>
      </c>
      <c r="G82" s="57">
        <v>38129</v>
      </c>
      <c r="H82" s="57">
        <v>36656</v>
      </c>
      <c r="I82" s="57">
        <v>35364</v>
      </c>
      <c r="J82" s="57">
        <v>31515</v>
      </c>
      <c r="K82" s="25">
        <v>30008</v>
      </c>
      <c r="L82" s="57">
        <v>34246</v>
      </c>
      <c r="M82" s="57">
        <v>33591</v>
      </c>
      <c r="N82" s="57">
        <f>SUM(B82:M82)</f>
        <v>386031</v>
      </c>
      <c r="O82" s="57"/>
      <c r="P82" s="57"/>
      <c r="Q82" s="57"/>
      <c r="R82" s="57"/>
      <c r="S82" s="48">
        <v>4</v>
      </c>
    </row>
    <row r="83" spans="1:19" x14ac:dyDescent="0.25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25"/>
      <c r="L83" s="78"/>
      <c r="M83" s="78"/>
      <c r="N83" s="78"/>
      <c r="O83" s="78"/>
      <c r="P83" s="78"/>
      <c r="Q83" s="78"/>
      <c r="R83" s="78"/>
    </row>
    <row r="84" spans="1:19" x14ac:dyDescent="0.25">
      <c r="A84" s="52" t="s">
        <v>84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9" ht="15.75" x14ac:dyDescent="0.25">
      <c r="A85" s="79" t="s">
        <v>85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9" x14ac:dyDescent="0.25">
      <c r="A86" s="80" t="s">
        <v>86</v>
      </c>
      <c r="B86" s="81">
        <v>227533</v>
      </c>
      <c r="C86" s="81">
        <v>245356</v>
      </c>
      <c r="D86" s="81">
        <v>247266</v>
      </c>
      <c r="E86" s="81">
        <v>249310</v>
      </c>
      <c r="F86" s="81">
        <v>251109</v>
      </c>
      <c r="G86" s="81">
        <v>240216</v>
      </c>
      <c r="H86" s="81">
        <v>241379</v>
      </c>
      <c r="I86" s="81">
        <v>253180</v>
      </c>
      <c r="J86" s="81">
        <v>242861</v>
      </c>
      <c r="K86" s="81">
        <v>245105</v>
      </c>
      <c r="L86" s="81">
        <v>229205</v>
      </c>
      <c r="M86" s="81">
        <v>235534</v>
      </c>
      <c r="N86" s="81"/>
      <c r="O86" s="81"/>
      <c r="P86" s="81"/>
      <c r="Q86" s="81"/>
      <c r="R86" s="81"/>
    </row>
    <row r="87" spans="1:19" x14ac:dyDescent="0.25">
      <c r="A87" s="80" t="s">
        <v>87</v>
      </c>
      <c r="B87" s="81">
        <f>B88+B90</f>
        <v>148721</v>
      </c>
      <c r="C87" s="81">
        <f>C88+C90</f>
        <v>154605</v>
      </c>
      <c r="D87" s="81">
        <f t="shared" ref="D87:M87" si="21">D88+D90</f>
        <v>206395</v>
      </c>
      <c r="E87" s="81">
        <f t="shared" si="21"/>
        <v>203305</v>
      </c>
      <c r="F87" s="81">
        <f t="shared" si="21"/>
        <v>213411</v>
      </c>
      <c r="G87" s="81">
        <f t="shared" si="21"/>
        <v>197811</v>
      </c>
      <c r="H87" s="81">
        <f t="shared" si="21"/>
        <v>180219</v>
      </c>
      <c r="I87" s="81">
        <f t="shared" si="21"/>
        <v>195020</v>
      </c>
      <c r="J87" s="81">
        <f t="shared" si="21"/>
        <v>201685</v>
      </c>
      <c r="K87" s="81">
        <f t="shared" si="21"/>
        <v>202701</v>
      </c>
      <c r="L87" s="81">
        <f t="shared" si="21"/>
        <v>201180</v>
      </c>
      <c r="M87" s="81">
        <f t="shared" si="21"/>
        <v>195413</v>
      </c>
      <c r="N87" s="81"/>
      <c r="O87" s="81"/>
      <c r="P87" s="81"/>
      <c r="Q87" s="81"/>
      <c r="R87" s="81"/>
    </row>
    <row r="88" spans="1:19" x14ac:dyDescent="0.25">
      <c r="A88" s="82" t="s">
        <v>88</v>
      </c>
      <c r="B88" s="57">
        <v>29520</v>
      </c>
      <c r="C88" s="57">
        <v>33300</v>
      </c>
      <c r="D88" s="58">
        <v>50800</v>
      </c>
      <c r="E88" s="57">
        <v>80100</v>
      </c>
      <c r="F88" s="57">
        <v>93000</v>
      </c>
      <c r="G88" s="57">
        <v>90000</v>
      </c>
      <c r="H88" s="58">
        <v>70000</v>
      </c>
      <c r="I88" s="58">
        <v>80000</v>
      </c>
      <c r="J88" s="57">
        <v>82000</v>
      </c>
      <c r="K88" s="27">
        <v>82500</v>
      </c>
      <c r="L88" s="57">
        <v>80000</v>
      </c>
      <c r="M88" s="57">
        <v>77500</v>
      </c>
      <c r="N88" s="57"/>
      <c r="O88" s="57"/>
      <c r="P88" s="57"/>
      <c r="Q88" s="57"/>
      <c r="R88" s="57"/>
    </row>
    <row r="89" spans="1:19" x14ac:dyDescent="0.25">
      <c r="A89" s="82" t="s">
        <v>89</v>
      </c>
      <c r="B89" s="57">
        <v>0</v>
      </c>
      <c r="C89" s="57">
        <v>0</v>
      </c>
      <c r="D89" s="58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27">
        <v>0</v>
      </c>
      <c r="L89" s="57">
        <v>0</v>
      </c>
      <c r="M89" s="57">
        <v>0</v>
      </c>
      <c r="N89" s="57"/>
      <c r="O89" s="57"/>
      <c r="P89" s="57"/>
      <c r="Q89" s="57"/>
      <c r="R89" s="57"/>
    </row>
    <row r="90" spans="1:19" x14ac:dyDescent="0.25">
      <c r="A90" s="83" t="s">
        <v>90</v>
      </c>
      <c r="B90" s="57">
        <v>119201</v>
      </c>
      <c r="C90" s="57">
        <v>121305</v>
      </c>
      <c r="D90" s="58">
        <v>155595</v>
      </c>
      <c r="E90" s="57">
        <v>123205</v>
      </c>
      <c r="F90" s="57">
        <v>120411</v>
      </c>
      <c r="G90" s="57">
        <v>107811</v>
      </c>
      <c r="H90" s="57">
        <v>110219</v>
      </c>
      <c r="I90" s="58">
        <v>115020</v>
      </c>
      <c r="J90" s="57">
        <v>119685</v>
      </c>
      <c r="K90" s="58">
        <v>120201</v>
      </c>
      <c r="L90" s="57">
        <v>121180</v>
      </c>
      <c r="M90" s="57">
        <v>117913</v>
      </c>
      <c r="N90" s="57"/>
      <c r="O90" s="57"/>
      <c r="P90" s="57"/>
      <c r="Q90" s="57"/>
      <c r="R90" s="57"/>
    </row>
    <row r="91" spans="1:19" x14ac:dyDescent="0.25">
      <c r="A91" s="83"/>
      <c r="B91" s="57"/>
      <c r="C91" s="57"/>
      <c r="D91" s="57"/>
      <c r="E91" s="57"/>
      <c r="F91" s="57"/>
      <c r="G91" s="57"/>
      <c r="H91" s="57"/>
      <c r="I91" s="58"/>
      <c r="J91" s="57"/>
      <c r="K91" s="25"/>
      <c r="L91" s="57"/>
      <c r="M91" s="57"/>
      <c r="N91" s="57"/>
      <c r="O91" s="57"/>
      <c r="P91" s="57"/>
      <c r="Q91" s="57"/>
      <c r="R91" s="57"/>
    </row>
    <row r="92" spans="1:19" x14ac:dyDescent="0.25">
      <c r="A92" s="52" t="s">
        <v>91</v>
      </c>
      <c r="B92" s="84"/>
      <c r="C92" s="84"/>
      <c r="D92" s="84"/>
      <c r="E92" s="84"/>
      <c r="F92" s="84"/>
      <c r="G92" s="84"/>
      <c r="H92" s="84"/>
      <c r="I92" s="84"/>
      <c r="J92" s="84"/>
      <c r="K92" s="25"/>
      <c r="L92" s="84"/>
      <c r="M92" s="84"/>
      <c r="N92" s="84"/>
      <c r="O92" s="84"/>
      <c r="P92" s="84"/>
      <c r="Q92" s="84"/>
      <c r="R92" s="84"/>
    </row>
    <row r="93" spans="1:19" ht="15.75" x14ac:dyDescent="0.25">
      <c r="A93" s="73" t="s">
        <v>92</v>
      </c>
      <c r="B93" s="39">
        <f t="shared" ref="B93:M93" si="22">SUM(B94:B98)</f>
        <v>6552251.330000001</v>
      </c>
      <c r="C93" s="39">
        <f t="shared" si="22"/>
        <v>6181395.3600000003</v>
      </c>
      <c r="D93" s="39">
        <f t="shared" si="22"/>
        <v>5553316.6999999993</v>
      </c>
      <c r="E93" s="39">
        <f t="shared" si="22"/>
        <v>6728784.7999999998</v>
      </c>
      <c r="F93" s="39">
        <f t="shared" si="22"/>
        <v>6710636.2400000002</v>
      </c>
      <c r="G93" s="39">
        <f t="shared" si="22"/>
        <v>7093229.8100000005</v>
      </c>
      <c r="H93" s="39">
        <f t="shared" si="22"/>
        <v>6878633.6000000006</v>
      </c>
      <c r="I93" s="39">
        <f t="shared" si="22"/>
        <v>6592813.7699999996</v>
      </c>
      <c r="J93" s="39">
        <f t="shared" si="22"/>
        <v>6548812.8100000015</v>
      </c>
      <c r="K93" s="39">
        <f t="shared" si="22"/>
        <v>6688129.7399999993</v>
      </c>
      <c r="L93" s="39">
        <f t="shared" si="22"/>
        <v>6600474.7000000002</v>
      </c>
      <c r="M93" s="39">
        <f t="shared" si="22"/>
        <v>6192635.3399999999</v>
      </c>
      <c r="N93" s="39">
        <f>SUM(B93:M93)*0.01</f>
        <v>783211.14199999999</v>
      </c>
      <c r="O93" s="39"/>
      <c r="P93" s="39"/>
      <c r="Q93" s="39"/>
      <c r="R93" s="39"/>
    </row>
    <row r="94" spans="1:19" x14ac:dyDescent="0.25">
      <c r="A94" s="32" t="s">
        <v>76</v>
      </c>
      <c r="B94" s="85">
        <v>5531924.2999999998</v>
      </c>
      <c r="C94" s="85">
        <v>5337684.53</v>
      </c>
      <c r="D94" s="85">
        <v>4751820.71</v>
      </c>
      <c r="E94" s="85">
        <v>5738277.8600000003</v>
      </c>
      <c r="F94" s="85">
        <v>5668108.5</v>
      </c>
      <c r="G94" s="85">
        <v>6017627.6200000001</v>
      </c>
      <c r="H94" s="85">
        <v>5758999.5300000003</v>
      </c>
      <c r="I94" s="85">
        <v>5588360.0199999996</v>
      </c>
      <c r="J94" s="85">
        <v>5526580.5300000003</v>
      </c>
      <c r="K94" s="85">
        <v>5600896.7199999997</v>
      </c>
      <c r="L94" s="85">
        <v>5525490.2599999998</v>
      </c>
      <c r="M94" s="85">
        <v>5224998.5999999996</v>
      </c>
      <c r="N94" s="57"/>
      <c r="O94" s="57"/>
      <c r="P94" s="57"/>
      <c r="Q94" s="57"/>
      <c r="R94" s="57"/>
      <c r="S94" s="48">
        <v>5</v>
      </c>
    </row>
    <row r="95" spans="1:19" x14ac:dyDescent="0.25">
      <c r="A95" s="32" t="s">
        <v>77</v>
      </c>
      <c r="B95" s="85">
        <v>855997.54</v>
      </c>
      <c r="C95" s="85">
        <v>703805.35</v>
      </c>
      <c r="D95" s="85">
        <v>673207.3</v>
      </c>
      <c r="E95" s="85">
        <v>805893.72</v>
      </c>
      <c r="F95" s="85">
        <v>842839.23</v>
      </c>
      <c r="G95" s="85">
        <v>879201.99</v>
      </c>
      <c r="H95" s="85">
        <v>913517.4</v>
      </c>
      <c r="I95" s="85">
        <v>847698.87</v>
      </c>
      <c r="J95" s="85">
        <v>832089.52</v>
      </c>
      <c r="K95" s="85">
        <v>897160.42</v>
      </c>
      <c r="L95" s="85">
        <v>885178.67</v>
      </c>
      <c r="M95" s="85">
        <v>824902.98</v>
      </c>
      <c r="N95" s="57"/>
      <c r="O95" s="57"/>
      <c r="P95" s="57"/>
      <c r="Q95" s="57"/>
      <c r="R95" s="57"/>
      <c r="S95" s="48">
        <v>5</v>
      </c>
    </row>
    <row r="96" spans="1:19" x14ac:dyDescent="0.25">
      <c r="A96" s="32" t="s">
        <v>78</v>
      </c>
      <c r="B96" s="85">
        <v>57587.11</v>
      </c>
      <c r="C96" s="85">
        <v>72629.53</v>
      </c>
      <c r="D96" s="85">
        <v>66549.56</v>
      </c>
      <c r="E96" s="85">
        <v>84850.44</v>
      </c>
      <c r="F96" s="85">
        <v>86325.64</v>
      </c>
      <c r="G96" s="85">
        <v>90215.81</v>
      </c>
      <c r="H96" s="85">
        <v>111850.38</v>
      </c>
      <c r="I96" s="85">
        <v>89223.25</v>
      </c>
      <c r="J96" s="85">
        <v>86915.65</v>
      </c>
      <c r="K96" s="85">
        <v>94008.21</v>
      </c>
      <c r="L96" s="85">
        <v>79541.990000000005</v>
      </c>
      <c r="M96" s="85">
        <v>62083.72</v>
      </c>
      <c r="N96" s="57"/>
      <c r="O96" s="57"/>
      <c r="P96" s="57"/>
      <c r="Q96" s="57"/>
      <c r="R96" s="57"/>
      <c r="S96" s="48">
        <v>5</v>
      </c>
    </row>
    <row r="97" spans="1:19" x14ac:dyDescent="0.25">
      <c r="A97" s="32" t="s">
        <v>79</v>
      </c>
      <c r="B97" s="85">
        <v>75322.23</v>
      </c>
      <c r="C97" s="85">
        <v>45440.97</v>
      </c>
      <c r="D97" s="85">
        <v>40660.54</v>
      </c>
      <c r="E97" s="85">
        <v>68107.22</v>
      </c>
      <c r="F97" s="85">
        <v>81943.41</v>
      </c>
      <c r="G97" s="85">
        <v>69343.41</v>
      </c>
      <c r="H97" s="85">
        <v>66217.919999999998</v>
      </c>
      <c r="I97" s="85">
        <v>40821.43</v>
      </c>
      <c r="J97" s="85">
        <v>76903.44</v>
      </c>
      <c r="K97" s="85">
        <v>70745.83</v>
      </c>
      <c r="L97" s="85">
        <v>81159.7</v>
      </c>
      <c r="M97" s="85">
        <v>56268.68</v>
      </c>
      <c r="N97" s="57"/>
      <c r="O97" s="57"/>
      <c r="P97" s="57"/>
      <c r="Q97" s="57"/>
      <c r="R97" s="57"/>
      <c r="S97" s="48">
        <v>6</v>
      </c>
    </row>
    <row r="98" spans="1:19" x14ac:dyDescent="0.25">
      <c r="A98" s="32" t="s">
        <v>80</v>
      </c>
      <c r="B98" s="85">
        <v>31420.15</v>
      </c>
      <c r="C98" s="85">
        <v>21834.98</v>
      </c>
      <c r="D98" s="85">
        <v>21078.59</v>
      </c>
      <c r="E98" s="85">
        <v>31655.56</v>
      </c>
      <c r="F98" s="85">
        <v>31419.46</v>
      </c>
      <c r="G98" s="85">
        <v>36840.980000000003</v>
      </c>
      <c r="H98" s="85">
        <v>28048.37</v>
      </c>
      <c r="I98" s="85">
        <v>26710.2</v>
      </c>
      <c r="J98" s="85">
        <v>26323.67</v>
      </c>
      <c r="K98" s="85">
        <v>25318.560000000001</v>
      </c>
      <c r="L98" s="85">
        <v>29104.080000000002</v>
      </c>
      <c r="M98" s="85">
        <v>24381.360000000001</v>
      </c>
      <c r="N98" s="57"/>
      <c r="O98" s="57"/>
      <c r="P98" s="57"/>
      <c r="Q98" s="57"/>
      <c r="R98" s="57"/>
      <c r="S98" s="48">
        <v>6</v>
      </c>
    </row>
    <row r="99" spans="1:19" x14ac:dyDescent="0.25">
      <c r="A99" s="86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9" ht="15.75" x14ac:dyDescent="0.25">
      <c r="A100" s="73" t="s">
        <v>93</v>
      </c>
      <c r="B100" s="39">
        <f>+B101+B102+B103+B104+B105</f>
        <v>5073342.6100000003</v>
      </c>
      <c r="C100" s="39">
        <f>+C101+C102+C103+C104+C105</f>
        <v>5343157.1399999997</v>
      </c>
      <c r="D100" s="39">
        <f>+D101+D102+D103+D104+D105</f>
        <v>6165332</v>
      </c>
      <c r="E100" s="39">
        <f>+E101+E102+E103+E104+E105</f>
        <v>5887482</v>
      </c>
      <c r="F100" s="39">
        <f>+F101+F102+F103+F104+F105</f>
        <v>5233706</v>
      </c>
      <c r="G100" s="39">
        <f>SUM(G101:G105)</f>
        <v>6647477</v>
      </c>
      <c r="H100" s="39">
        <f>SUM(H101:H105)</f>
        <v>6761119</v>
      </c>
      <c r="I100" s="39">
        <f>+I101+I102+I103+I104+I105</f>
        <v>6186009</v>
      </c>
      <c r="J100" s="39">
        <f>+J101+J102+J103+J104+J105</f>
        <v>5844407</v>
      </c>
      <c r="K100" s="39">
        <f>+K101+K102+K103+K104+K105</f>
        <v>5704549</v>
      </c>
      <c r="L100" s="39">
        <f>+L101+L102+L103+L104+L105</f>
        <v>6195772</v>
      </c>
      <c r="M100" s="39">
        <f>+M101+M102+M103+M104+M105</f>
        <v>6427552</v>
      </c>
      <c r="N100" s="39"/>
      <c r="O100" s="39"/>
      <c r="P100" s="39"/>
      <c r="Q100" s="39"/>
      <c r="R100" s="39"/>
    </row>
    <row r="101" spans="1:19" ht="14.25" customHeight="1" x14ac:dyDescent="0.25">
      <c r="A101" s="32" t="s">
        <v>76</v>
      </c>
      <c r="B101" s="85">
        <v>4353973</v>
      </c>
      <c r="C101" s="85">
        <v>4583134</v>
      </c>
      <c r="D101" s="57">
        <v>5207050</v>
      </c>
      <c r="E101" s="57">
        <v>5004724</v>
      </c>
      <c r="F101" s="57">
        <v>4545400</v>
      </c>
      <c r="G101" s="57">
        <v>5624344</v>
      </c>
      <c r="H101" s="85">
        <v>5707192</v>
      </c>
      <c r="I101" s="57">
        <v>5301743</v>
      </c>
      <c r="J101" s="57">
        <v>4974398</v>
      </c>
      <c r="K101" s="57">
        <v>4842797</v>
      </c>
      <c r="L101" s="57">
        <v>5254685</v>
      </c>
      <c r="M101" s="57">
        <v>5463233</v>
      </c>
      <c r="N101" s="57"/>
      <c r="O101" s="57"/>
      <c r="P101" s="57"/>
      <c r="Q101" s="57"/>
      <c r="R101" s="57"/>
    </row>
    <row r="102" spans="1:19" x14ac:dyDescent="0.25">
      <c r="A102" s="32" t="s">
        <v>77</v>
      </c>
      <c r="B102" s="85">
        <v>620255</v>
      </c>
      <c r="C102" s="85">
        <v>680874</v>
      </c>
      <c r="D102" s="57">
        <v>862631</v>
      </c>
      <c r="E102" s="57">
        <v>778702</v>
      </c>
      <c r="F102" s="57">
        <v>639539</v>
      </c>
      <c r="G102" s="57">
        <v>913734</v>
      </c>
      <c r="H102" s="85">
        <v>918706</v>
      </c>
      <c r="I102" s="57">
        <v>799379</v>
      </c>
      <c r="J102" s="57">
        <v>772006</v>
      </c>
      <c r="K102" s="57">
        <v>705989</v>
      </c>
      <c r="L102" s="57">
        <v>888122</v>
      </c>
      <c r="M102" s="57">
        <v>889902</v>
      </c>
      <c r="N102" s="57"/>
      <c r="O102" s="57"/>
      <c r="P102" s="57"/>
      <c r="Q102" s="57"/>
      <c r="R102" s="57"/>
    </row>
    <row r="103" spans="1:19" x14ac:dyDescent="0.25">
      <c r="A103" s="32" t="s">
        <v>78</v>
      </c>
      <c r="B103" s="85">
        <v>97098</v>
      </c>
      <c r="C103" s="85">
        <v>38660</v>
      </c>
      <c r="D103" s="57">
        <v>83614</v>
      </c>
      <c r="E103" s="57">
        <v>87407</v>
      </c>
      <c r="F103" s="57">
        <v>46193</v>
      </c>
      <c r="G103" s="57">
        <v>80689</v>
      </c>
      <c r="H103" s="85">
        <v>130635</v>
      </c>
      <c r="I103" s="57">
        <v>46170</v>
      </c>
      <c r="J103" s="57">
        <v>87135</v>
      </c>
      <c r="K103" s="25">
        <v>137433</v>
      </c>
      <c r="L103" s="25">
        <v>48483</v>
      </c>
      <c r="M103" s="57">
        <v>44860</v>
      </c>
      <c r="N103" s="57"/>
      <c r="O103" s="57"/>
      <c r="P103" s="57"/>
      <c r="Q103" s="57"/>
      <c r="R103" s="57"/>
    </row>
    <row r="104" spans="1:19" x14ac:dyDescent="0.25">
      <c r="A104" s="32" t="s">
        <v>79</v>
      </c>
      <c r="B104" s="85">
        <v>1809.61</v>
      </c>
      <c r="C104" s="85">
        <v>38959</v>
      </c>
      <c r="D104" s="57">
        <v>10789</v>
      </c>
      <c r="E104" s="57">
        <v>15477</v>
      </c>
      <c r="F104" s="57">
        <v>2574</v>
      </c>
      <c r="G104" s="57">
        <v>27399</v>
      </c>
      <c r="H104" s="85">
        <v>1803</v>
      </c>
      <c r="I104" s="57">
        <v>37682</v>
      </c>
      <c r="J104" s="57">
        <v>9945</v>
      </c>
      <c r="K104" s="25">
        <v>18025</v>
      </c>
      <c r="L104" s="25">
        <v>0</v>
      </c>
      <c r="M104" s="57">
        <v>23391</v>
      </c>
      <c r="N104" s="57"/>
      <c r="O104" s="57"/>
      <c r="P104" s="57"/>
      <c r="Q104" s="57"/>
      <c r="R104" s="57"/>
      <c r="S104" s="48">
        <v>7</v>
      </c>
    </row>
    <row r="105" spans="1:19" x14ac:dyDescent="0.25">
      <c r="A105" s="32" t="s">
        <v>80</v>
      </c>
      <c r="B105" s="85">
        <v>207</v>
      </c>
      <c r="C105" s="85">
        <v>1530.14</v>
      </c>
      <c r="D105" s="57">
        <v>1248</v>
      </c>
      <c r="E105" s="57">
        <v>1172</v>
      </c>
      <c r="F105" s="57">
        <v>0</v>
      </c>
      <c r="G105" s="57">
        <v>1311</v>
      </c>
      <c r="H105" s="85">
        <v>2783</v>
      </c>
      <c r="I105" s="57">
        <v>1035</v>
      </c>
      <c r="J105" s="57">
        <v>923</v>
      </c>
      <c r="K105" s="25">
        <v>305</v>
      </c>
      <c r="L105" s="25">
        <v>4482</v>
      </c>
      <c r="M105" s="57">
        <v>6166</v>
      </c>
      <c r="N105" s="57"/>
      <c r="O105" s="57"/>
      <c r="P105" s="57"/>
      <c r="Q105" s="57"/>
      <c r="R105" s="57"/>
      <c r="S105" s="48">
        <v>7</v>
      </c>
    </row>
    <row r="106" spans="1:19" x14ac:dyDescent="0.25">
      <c r="A106" s="88"/>
      <c r="B106" s="58"/>
      <c r="C106" s="58"/>
      <c r="D106" s="58"/>
      <c r="E106" s="58"/>
      <c r="F106" s="58"/>
      <c r="G106" s="58"/>
      <c r="H106" s="58"/>
      <c r="I106" s="58"/>
      <c r="J106" s="58"/>
      <c r="K106" s="25"/>
      <c r="L106" s="58"/>
      <c r="M106" s="58"/>
      <c r="N106" s="58"/>
      <c r="O106" s="58"/>
      <c r="P106" s="58"/>
      <c r="Q106" s="58"/>
      <c r="R106" s="58"/>
    </row>
    <row r="107" spans="1:19" x14ac:dyDescent="0.25">
      <c r="A107" s="32" t="s">
        <v>94</v>
      </c>
      <c r="B107" s="57">
        <v>200</v>
      </c>
      <c r="C107" s="57">
        <v>415</v>
      </c>
      <c r="D107" s="57">
        <v>310</v>
      </c>
      <c r="E107" s="57">
        <v>396</v>
      </c>
      <c r="F107" s="57">
        <v>283</v>
      </c>
      <c r="G107" s="57">
        <v>251</v>
      </c>
      <c r="H107" s="57">
        <v>538</v>
      </c>
      <c r="I107" s="57">
        <v>606</v>
      </c>
      <c r="J107" s="57">
        <v>465</v>
      </c>
      <c r="K107" s="27">
        <f>46+392</f>
        <v>438</v>
      </c>
      <c r="L107" s="57">
        <v>359</v>
      </c>
      <c r="M107" s="57">
        <f>172+16+4</f>
        <v>192</v>
      </c>
      <c r="N107" s="57"/>
      <c r="O107" s="57"/>
      <c r="P107" s="57"/>
      <c r="Q107" s="57"/>
      <c r="R107" s="57"/>
      <c r="S107" s="48">
        <v>10</v>
      </c>
    </row>
    <row r="108" spans="1:19" x14ac:dyDescent="0.25">
      <c r="A108" s="32" t="s">
        <v>95</v>
      </c>
      <c r="B108" s="57">
        <v>95</v>
      </c>
      <c r="C108" s="57">
        <v>168</v>
      </c>
      <c r="D108" s="57">
        <v>196</v>
      </c>
      <c r="E108" s="57">
        <v>241</v>
      </c>
      <c r="F108" s="57">
        <v>205</v>
      </c>
      <c r="G108" s="57">
        <v>236</v>
      </c>
      <c r="H108" s="57">
        <v>363</v>
      </c>
      <c r="I108" s="57">
        <v>415</v>
      </c>
      <c r="J108" s="57">
        <v>281</v>
      </c>
      <c r="K108" s="27">
        <v>323</v>
      </c>
      <c r="L108" s="57">
        <v>318</v>
      </c>
      <c r="M108" s="57">
        <v>197</v>
      </c>
      <c r="N108" s="57"/>
      <c r="O108" s="57"/>
      <c r="P108" s="57"/>
      <c r="Q108" s="57"/>
      <c r="R108" s="57"/>
      <c r="S108" s="48">
        <v>11</v>
      </c>
    </row>
    <row r="109" spans="1:19" x14ac:dyDescent="0.25">
      <c r="A109" s="32" t="s">
        <v>96</v>
      </c>
      <c r="B109" s="57">
        <v>8371</v>
      </c>
      <c r="C109" s="57">
        <v>20748</v>
      </c>
      <c r="D109" s="57">
        <v>22507</v>
      </c>
      <c r="E109" s="57">
        <v>31410</v>
      </c>
      <c r="F109" s="57">
        <v>11684.5</v>
      </c>
      <c r="G109" s="57">
        <v>18456.5</v>
      </c>
      <c r="H109" s="58">
        <v>29588</v>
      </c>
      <c r="I109" s="57">
        <v>22831</v>
      </c>
      <c r="J109" s="58">
        <v>27666.5</v>
      </c>
      <c r="K109" s="25">
        <v>34023</v>
      </c>
      <c r="L109" s="57">
        <v>37347</v>
      </c>
      <c r="M109" s="57">
        <v>36729.199999999997</v>
      </c>
      <c r="N109" s="57"/>
      <c r="O109" s="57"/>
      <c r="P109" s="57"/>
      <c r="Q109" s="57"/>
      <c r="R109" s="57"/>
      <c r="S109" s="48">
        <v>12</v>
      </c>
    </row>
    <row r="110" spans="1:19" x14ac:dyDescent="0.25">
      <c r="A110" s="89" t="s">
        <v>97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25"/>
      <c r="L110" s="90"/>
      <c r="M110" s="90"/>
      <c r="N110" s="90"/>
      <c r="O110" s="90"/>
      <c r="P110" s="90"/>
      <c r="Q110" s="90"/>
      <c r="R110" s="90"/>
    </row>
    <row r="111" spans="1:19" x14ac:dyDescent="0.25">
      <c r="A111" s="52" t="s">
        <v>98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</row>
    <row r="112" spans="1:19" ht="15.75" x14ac:dyDescent="0.25">
      <c r="A112" s="36" t="s">
        <v>99</v>
      </c>
      <c r="B112" s="91">
        <f>+B113+B119</f>
        <v>24209</v>
      </c>
      <c r="C112" s="91">
        <f>+C113+C119</f>
        <v>24289</v>
      </c>
      <c r="D112" s="91">
        <f>+D113+D119</f>
        <v>24345</v>
      </c>
      <c r="E112" s="91">
        <f t="shared" ref="E112:L112" si="23">+E113+E119</f>
        <v>24441</v>
      </c>
      <c r="F112" s="91">
        <f t="shared" si="23"/>
        <v>24498</v>
      </c>
      <c r="G112" s="91">
        <f t="shared" si="23"/>
        <v>24541</v>
      </c>
      <c r="H112" s="91">
        <f t="shared" si="23"/>
        <v>24575</v>
      </c>
      <c r="I112" s="91">
        <f t="shared" si="23"/>
        <v>24629</v>
      </c>
      <c r="J112" s="91">
        <f t="shared" si="23"/>
        <v>24660</v>
      </c>
      <c r="K112" s="91">
        <f t="shared" si="23"/>
        <v>24697</v>
      </c>
      <c r="L112" s="91">
        <f t="shared" si="23"/>
        <v>24725</v>
      </c>
      <c r="M112" s="91">
        <f>+M113+M119</f>
        <v>24741</v>
      </c>
      <c r="N112" s="91"/>
      <c r="O112" s="91"/>
      <c r="P112" s="91"/>
      <c r="Q112" s="91"/>
      <c r="R112" s="91"/>
      <c r="S112" s="48">
        <v>14</v>
      </c>
    </row>
    <row r="113" spans="1:18" x14ac:dyDescent="0.25">
      <c r="A113" s="92" t="s">
        <v>100</v>
      </c>
      <c r="B113" s="93">
        <f>+B114+B115+B116+B117+B118</f>
        <v>24085</v>
      </c>
      <c r="C113" s="93">
        <f t="shared" ref="C113:M113" si="24">+C114+C115+C116+C117+C118</f>
        <v>24165</v>
      </c>
      <c r="D113" s="93">
        <f t="shared" si="24"/>
        <v>24221</v>
      </c>
      <c r="E113" s="93">
        <f t="shared" si="24"/>
        <v>24317</v>
      </c>
      <c r="F113" s="93">
        <f t="shared" si="24"/>
        <v>24375</v>
      </c>
      <c r="G113" s="93">
        <f t="shared" si="24"/>
        <v>24417</v>
      </c>
      <c r="H113" s="93">
        <f t="shared" si="24"/>
        <v>24451</v>
      </c>
      <c r="I113" s="93">
        <f t="shared" si="24"/>
        <v>24505</v>
      </c>
      <c r="J113" s="93">
        <f t="shared" si="24"/>
        <v>24536</v>
      </c>
      <c r="K113" s="93">
        <f t="shared" si="24"/>
        <v>24573</v>
      </c>
      <c r="L113" s="93">
        <f t="shared" si="24"/>
        <v>24601</v>
      </c>
      <c r="M113" s="93">
        <f t="shared" si="24"/>
        <v>24617</v>
      </c>
      <c r="N113" s="93"/>
      <c r="O113" s="93"/>
      <c r="P113" s="93"/>
      <c r="Q113" s="93"/>
      <c r="R113" s="93"/>
    </row>
    <row r="114" spans="1:18" x14ac:dyDescent="0.25">
      <c r="A114" s="29" t="s">
        <v>101</v>
      </c>
      <c r="B114" s="67">
        <v>22570</v>
      </c>
      <c r="C114" s="67">
        <v>22646</v>
      </c>
      <c r="D114" s="67">
        <v>22691</v>
      </c>
      <c r="E114" s="67">
        <v>22777</v>
      </c>
      <c r="F114" s="67">
        <v>22833</v>
      </c>
      <c r="G114" s="67">
        <v>22872</v>
      </c>
      <c r="H114" s="67">
        <v>22904</v>
      </c>
      <c r="I114" s="67">
        <v>22951</v>
      </c>
      <c r="J114" s="67">
        <v>22977</v>
      </c>
      <c r="K114" s="67">
        <v>23007</v>
      </c>
      <c r="L114" s="67">
        <v>23033</v>
      </c>
      <c r="M114" s="67">
        <v>23048</v>
      </c>
      <c r="N114" s="67"/>
      <c r="O114" s="67"/>
      <c r="P114" s="67"/>
      <c r="Q114" s="67"/>
      <c r="R114" s="67"/>
    </row>
    <row r="115" spans="1:18" x14ac:dyDescent="0.25">
      <c r="A115" s="29" t="s">
        <v>102</v>
      </c>
      <c r="B115" s="67">
        <v>1297</v>
      </c>
      <c r="C115" s="67">
        <v>1301</v>
      </c>
      <c r="D115" s="67">
        <v>1312</v>
      </c>
      <c r="E115" s="67">
        <v>1322</v>
      </c>
      <c r="F115" s="67">
        <v>1325</v>
      </c>
      <c r="G115" s="67">
        <v>1328</v>
      </c>
      <c r="H115" s="67">
        <v>1330</v>
      </c>
      <c r="I115" s="67">
        <v>1333</v>
      </c>
      <c r="J115" s="67">
        <v>1338</v>
      </c>
      <c r="K115" s="67">
        <v>1345</v>
      </c>
      <c r="L115" s="67">
        <v>1347</v>
      </c>
      <c r="M115" s="67">
        <v>1349</v>
      </c>
      <c r="N115" s="67"/>
      <c r="O115" s="67"/>
      <c r="P115" s="67"/>
      <c r="Q115" s="67"/>
      <c r="R115" s="67"/>
    </row>
    <row r="116" spans="1:18" x14ac:dyDescent="0.25">
      <c r="A116" s="29" t="s">
        <v>103</v>
      </c>
      <c r="B116" s="67">
        <v>23</v>
      </c>
      <c r="C116" s="67">
        <v>23</v>
      </c>
      <c r="D116" s="67">
        <v>23</v>
      </c>
      <c r="E116" s="67">
        <v>23</v>
      </c>
      <c r="F116" s="67">
        <v>23</v>
      </c>
      <c r="G116" s="67">
        <v>23</v>
      </c>
      <c r="H116" s="67">
        <v>23</v>
      </c>
      <c r="I116" s="67">
        <v>27</v>
      </c>
      <c r="J116" s="67">
        <v>27</v>
      </c>
      <c r="K116" s="67">
        <v>27</v>
      </c>
      <c r="L116" s="67">
        <v>27</v>
      </c>
      <c r="M116" s="67">
        <v>26</v>
      </c>
      <c r="N116" s="67"/>
      <c r="O116" s="67"/>
      <c r="P116" s="67"/>
      <c r="Q116" s="67"/>
      <c r="R116" s="67"/>
    </row>
    <row r="117" spans="1:18" x14ac:dyDescent="0.25">
      <c r="A117" s="29" t="s">
        <v>104</v>
      </c>
      <c r="B117" s="67">
        <v>95</v>
      </c>
      <c r="C117" s="67">
        <v>95</v>
      </c>
      <c r="D117" s="67">
        <v>95</v>
      </c>
      <c r="E117" s="67">
        <v>95</v>
      </c>
      <c r="F117" s="67">
        <v>94</v>
      </c>
      <c r="G117" s="67">
        <v>94</v>
      </c>
      <c r="H117" s="67">
        <v>94</v>
      </c>
      <c r="I117" s="67">
        <v>94</v>
      </c>
      <c r="J117" s="67">
        <v>94</v>
      </c>
      <c r="K117" s="67">
        <v>94</v>
      </c>
      <c r="L117" s="67">
        <v>94</v>
      </c>
      <c r="M117" s="67">
        <v>94</v>
      </c>
      <c r="N117" s="67"/>
      <c r="O117" s="67"/>
      <c r="P117" s="67"/>
      <c r="Q117" s="67"/>
      <c r="R117" s="67"/>
    </row>
    <row r="118" spans="1:18" x14ac:dyDescent="0.25">
      <c r="A118" s="29" t="s">
        <v>105</v>
      </c>
      <c r="B118" s="67">
        <v>100</v>
      </c>
      <c r="C118" s="67">
        <v>100</v>
      </c>
      <c r="D118" s="67">
        <v>100</v>
      </c>
      <c r="E118" s="67">
        <v>100</v>
      </c>
      <c r="F118" s="67">
        <v>100</v>
      </c>
      <c r="G118" s="67">
        <v>100</v>
      </c>
      <c r="H118" s="67">
        <v>100</v>
      </c>
      <c r="I118" s="67">
        <v>100</v>
      </c>
      <c r="J118" s="67">
        <v>100</v>
      </c>
      <c r="K118" s="67">
        <v>100</v>
      </c>
      <c r="L118" s="67">
        <v>100</v>
      </c>
      <c r="M118" s="67">
        <v>100</v>
      </c>
      <c r="N118" s="67"/>
      <c r="O118" s="67"/>
      <c r="P118" s="67"/>
      <c r="Q118" s="67"/>
      <c r="R118" s="67"/>
    </row>
    <row r="119" spans="1:18" x14ac:dyDescent="0.25">
      <c r="A119" s="92" t="s">
        <v>106</v>
      </c>
      <c r="B119" s="93">
        <f>+B120+B121+B122+B123+B124</f>
        <v>124</v>
      </c>
      <c r="C119" s="93">
        <f t="shared" ref="C119:M119" si="25">+C120+C121+C122+C123+C124</f>
        <v>124</v>
      </c>
      <c r="D119" s="93">
        <f t="shared" si="25"/>
        <v>124</v>
      </c>
      <c r="E119" s="93">
        <f t="shared" si="25"/>
        <v>124</v>
      </c>
      <c r="F119" s="93">
        <f t="shared" si="25"/>
        <v>123</v>
      </c>
      <c r="G119" s="93">
        <f t="shared" si="25"/>
        <v>124</v>
      </c>
      <c r="H119" s="93">
        <f t="shared" si="25"/>
        <v>124</v>
      </c>
      <c r="I119" s="93">
        <f t="shared" si="25"/>
        <v>124</v>
      </c>
      <c r="J119" s="93">
        <f t="shared" si="25"/>
        <v>124</v>
      </c>
      <c r="K119" s="93">
        <f t="shared" si="25"/>
        <v>124</v>
      </c>
      <c r="L119" s="93">
        <f t="shared" si="25"/>
        <v>124</v>
      </c>
      <c r="M119" s="93">
        <f t="shared" si="25"/>
        <v>124</v>
      </c>
      <c r="N119" s="93"/>
      <c r="O119" s="93"/>
      <c r="P119" s="93"/>
      <c r="Q119" s="93"/>
      <c r="R119" s="93"/>
    </row>
    <row r="120" spans="1:18" x14ac:dyDescent="0.25">
      <c r="A120" s="29" t="s">
        <v>101</v>
      </c>
      <c r="B120" s="67">
        <v>109</v>
      </c>
      <c r="C120" s="67">
        <v>109</v>
      </c>
      <c r="D120" s="67">
        <v>109</v>
      </c>
      <c r="E120" s="67">
        <v>109</v>
      </c>
      <c r="F120" s="67">
        <v>108</v>
      </c>
      <c r="G120" s="67">
        <v>109</v>
      </c>
      <c r="H120" s="67">
        <v>109</v>
      </c>
      <c r="I120" s="67">
        <v>109</v>
      </c>
      <c r="J120" s="67">
        <v>109</v>
      </c>
      <c r="K120" s="67">
        <v>109</v>
      </c>
      <c r="L120" s="67">
        <v>109</v>
      </c>
      <c r="M120" s="67">
        <v>109</v>
      </c>
      <c r="N120" s="67"/>
      <c r="O120" s="67"/>
      <c r="P120" s="67"/>
      <c r="Q120" s="67"/>
      <c r="R120" s="67"/>
    </row>
    <row r="121" spans="1:18" x14ac:dyDescent="0.25">
      <c r="A121" s="40" t="s">
        <v>102</v>
      </c>
      <c r="B121" s="67">
        <v>15</v>
      </c>
      <c r="C121" s="67">
        <v>15</v>
      </c>
      <c r="D121" s="67">
        <v>15</v>
      </c>
      <c r="E121" s="67">
        <v>15</v>
      </c>
      <c r="F121" s="67">
        <v>15</v>
      </c>
      <c r="G121" s="67">
        <v>15</v>
      </c>
      <c r="H121" s="67">
        <v>15</v>
      </c>
      <c r="I121" s="67">
        <v>15</v>
      </c>
      <c r="J121" s="67">
        <v>15</v>
      </c>
      <c r="K121" s="67">
        <v>15</v>
      </c>
      <c r="L121" s="67">
        <v>15</v>
      </c>
      <c r="M121" s="67">
        <v>15</v>
      </c>
      <c r="N121" s="67"/>
      <c r="O121" s="67"/>
      <c r="P121" s="67"/>
      <c r="Q121" s="67"/>
      <c r="R121" s="67"/>
    </row>
    <row r="122" spans="1:18" x14ac:dyDescent="0.25">
      <c r="A122" s="29" t="s">
        <v>103</v>
      </c>
      <c r="B122" s="67">
        <v>0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/>
      <c r="O122" s="67"/>
      <c r="P122" s="67"/>
      <c r="Q122" s="67"/>
      <c r="R122" s="67"/>
    </row>
    <row r="123" spans="1:18" x14ac:dyDescent="0.25">
      <c r="A123" s="29" t="s">
        <v>104</v>
      </c>
      <c r="B123" s="67">
        <v>0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/>
      <c r="O123" s="67"/>
      <c r="P123" s="67"/>
      <c r="Q123" s="67"/>
      <c r="R123" s="67"/>
    </row>
    <row r="124" spans="1:18" x14ac:dyDescent="0.25">
      <c r="A124" s="29" t="s">
        <v>105</v>
      </c>
      <c r="B124" s="67">
        <v>0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/>
      <c r="O124" s="67"/>
      <c r="P124" s="67"/>
      <c r="Q124" s="67"/>
      <c r="R124" s="67"/>
    </row>
    <row r="125" spans="1:18" ht="23.25" customHeight="1" x14ac:dyDescent="0.25">
      <c r="A125" s="94" t="s">
        <v>107</v>
      </c>
      <c r="B125" s="95">
        <v>1066</v>
      </c>
      <c r="C125" s="95">
        <v>1073</v>
      </c>
      <c r="D125" s="95">
        <v>1075</v>
      </c>
      <c r="E125" s="95">
        <v>1075</v>
      </c>
      <c r="F125" s="95">
        <v>1168</v>
      </c>
      <c r="G125" s="95">
        <v>1086</v>
      </c>
      <c r="H125" s="95">
        <v>1090</v>
      </c>
      <c r="I125" s="95">
        <v>1093</v>
      </c>
      <c r="J125" s="95">
        <v>1163</v>
      </c>
      <c r="K125" s="95">
        <v>1099</v>
      </c>
      <c r="L125" s="95">
        <v>1084</v>
      </c>
      <c r="M125" s="95">
        <v>1091</v>
      </c>
      <c r="N125" s="95"/>
      <c r="O125" s="67"/>
      <c r="P125" s="67"/>
      <c r="Q125" s="67"/>
      <c r="R125" s="67"/>
    </row>
    <row r="126" spans="1:18" ht="15.75" customHeight="1" x14ac:dyDescent="0.25">
      <c r="A126" s="9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</row>
    <row r="127" spans="1:18" ht="19.5" customHeight="1" x14ac:dyDescent="0.25">
      <c r="A127" s="97" t="s">
        <v>108</v>
      </c>
      <c r="B127" s="98">
        <f t="shared" ref="B127:M127" si="26">B112*0.98</f>
        <v>23724.82</v>
      </c>
      <c r="C127" s="98">
        <f t="shared" si="26"/>
        <v>23803.22</v>
      </c>
      <c r="D127" s="98">
        <f>D112*0.98</f>
        <v>23858.1</v>
      </c>
      <c r="E127" s="98">
        <f>E112*0.98</f>
        <v>23952.18</v>
      </c>
      <c r="F127" s="98">
        <f t="shared" si="26"/>
        <v>24008.04</v>
      </c>
      <c r="G127" s="98">
        <f t="shared" si="26"/>
        <v>24050.18</v>
      </c>
      <c r="H127" s="98">
        <f t="shared" si="26"/>
        <v>24083.5</v>
      </c>
      <c r="I127" s="98">
        <f t="shared" si="26"/>
        <v>24136.42</v>
      </c>
      <c r="J127" s="98">
        <f t="shared" si="26"/>
        <v>24166.799999999999</v>
      </c>
      <c r="K127" s="98">
        <f t="shared" si="26"/>
        <v>24203.06</v>
      </c>
      <c r="L127" s="98">
        <f t="shared" si="26"/>
        <v>24230.5</v>
      </c>
      <c r="M127" s="98">
        <f t="shared" si="26"/>
        <v>24246.18</v>
      </c>
      <c r="N127" s="98"/>
      <c r="O127" s="98"/>
      <c r="P127" s="98"/>
      <c r="Q127" s="98"/>
      <c r="R127" s="98"/>
    </row>
    <row r="128" spans="1:18" ht="19.5" customHeight="1" x14ac:dyDescent="0.25">
      <c r="A128" s="73" t="s">
        <v>109</v>
      </c>
      <c r="B128" s="99">
        <f>+B127/B112</f>
        <v>0.98</v>
      </c>
      <c r="C128" s="99">
        <f t="shared" ref="C128:M128" si="27">+C127/C112</f>
        <v>0.98000000000000009</v>
      </c>
      <c r="D128" s="99">
        <f t="shared" si="27"/>
        <v>0.98</v>
      </c>
      <c r="E128" s="99">
        <f t="shared" si="27"/>
        <v>0.98</v>
      </c>
      <c r="F128" s="99">
        <f t="shared" si="27"/>
        <v>0.98</v>
      </c>
      <c r="G128" s="99">
        <f t="shared" si="27"/>
        <v>0.98</v>
      </c>
      <c r="H128" s="99">
        <f t="shared" si="27"/>
        <v>0.98</v>
      </c>
      <c r="I128" s="99">
        <f t="shared" si="27"/>
        <v>0.98</v>
      </c>
      <c r="J128" s="99">
        <f t="shared" si="27"/>
        <v>0.98</v>
      </c>
      <c r="K128" s="99">
        <f t="shared" si="27"/>
        <v>0.98000000000000009</v>
      </c>
      <c r="L128" s="99">
        <f t="shared" si="27"/>
        <v>0.98</v>
      </c>
      <c r="M128" s="99">
        <f t="shared" si="27"/>
        <v>0.98</v>
      </c>
      <c r="N128" s="98"/>
      <c r="O128" s="98"/>
      <c r="P128" s="98"/>
      <c r="Q128" s="98"/>
      <c r="R128" s="98"/>
    </row>
    <row r="129" spans="1:18" ht="19.5" customHeight="1" x14ac:dyDescent="0.25">
      <c r="A129" s="100"/>
      <c r="B129" s="101"/>
      <c r="C129" s="101"/>
      <c r="D129" s="102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</row>
    <row r="130" spans="1:18" ht="15" customHeight="1" x14ac:dyDescent="0.25">
      <c r="A130" s="52" t="s">
        <v>110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</row>
    <row r="131" spans="1:18" ht="15.75" x14ac:dyDescent="0.25">
      <c r="A131" s="36" t="s">
        <v>111</v>
      </c>
      <c r="B131" s="37">
        <f t="shared" ref="B131:M131" si="28">+B132+B136+B137</f>
        <v>61722689.710000001</v>
      </c>
      <c r="C131" s="37">
        <f t="shared" si="28"/>
        <v>62262546.160000004</v>
      </c>
      <c r="D131" s="37">
        <f t="shared" si="28"/>
        <v>62209347.359999999</v>
      </c>
      <c r="E131" s="37">
        <f t="shared" si="28"/>
        <v>61974891.390000001</v>
      </c>
      <c r="F131" s="37">
        <f t="shared" si="28"/>
        <v>62684160.980000004</v>
      </c>
      <c r="G131" s="37">
        <f t="shared" si="28"/>
        <v>62664799.090000004</v>
      </c>
      <c r="H131" s="37">
        <f t="shared" si="28"/>
        <v>62909238.850000009</v>
      </c>
      <c r="I131" s="37">
        <f t="shared" si="28"/>
        <v>62927803.830000006</v>
      </c>
      <c r="J131" s="37">
        <f t="shared" si="28"/>
        <v>69112129.530000001</v>
      </c>
      <c r="K131" s="37">
        <f t="shared" si="28"/>
        <v>69755038.829999998</v>
      </c>
      <c r="L131" s="37">
        <f t="shared" si="28"/>
        <v>69915625.570000008</v>
      </c>
      <c r="M131" s="37">
        <f t="shared" si="28"/>
        <v>69425979.959999993</v>
      </c>
      <c r="N131" s="37"/>
      <c r="O131" s="37"/>
      <c r="P131" s="37"/>
      <c r="Q131" s="37"/>
      <c r="R131" s="37"/>
    </row>
    <row r="132" spans="1:18" x14ac:dyDescent="0.25">
      <c r="A132" s="92" t="s">
        <v>112</v>
      </c>
      <c r="B132" s="39">
        <f>+B133+B134+B135</f>
        <v>30724330.57</v>
      </c>
      <c r="C132" s="39">
        <f>+C133+C134+C135</f>
        <v>31200220.030000001</v>
      </c>
      <c r="D132" s="39">
        <f t="shared" ref="D132:M132" si="29">+D133+D134+D135</f>
        <v>31093211.98</v>
      </c>
      <c r="E132" s="39">
        <f t="shared" si="29"/>
        <v>30815077.240000002</v>
      </c>
      <c r="F132" s="39">
        <f t="shared" si="29"/>
        <v>31423203.120000001</v>
      </c>
      <c r="G132" s="39">
        <f t="shared" si="29"/>
        <v>31323089.18</v>
      </c>
      <c r="H132" s="39">
        <f t="shared" si="29"/>
        <v>31470392.180000003</v>
      </c>
      <c r="I132" s="39">
        <f t="shared" si="29"/>
        <v>31426544.290000003</v>
      </c>
      <c r="J132" s="39">
        <f t="shared" si="29"/>
        <v>35511196.399999999</v>
      </c>
      <c r="K132" s="39">
        <f t="shared" si="29"/>
        <v>36056133.850000001</v>
      </c>
      <c r="L132" s="39">
        <f t="shared" si="29"/>
        <v>36121282.890000001</v>
      </c>
      <c r="M132" s="39">
        <f t="shared" si="29"/>
        <v>35583859.43</v>
      </c>
      <c r="N132" s="39">
        <f>N133+N137+N138</f>
        <v>0</v>
      </c>
      <c r="O132" s="39">
        <f>O133+O137+O138</f>
        <v>0</v>
      </c>
      <c r="P132" s="39">
        <f>P133+P137+P138</f>
        <v>0</v>
      </c>
      <c r="Q132" s="39">
        <f>Q133+Q137+Q138</f>
        <v>0</v>
      </c>
      <c r="R132" s="39">
        <f>R133+R137+R138</f>
        <v>0</v>
      </c>
    </row>
    <row r="133" spans="1:18" x14ac:dyDescent="0.25">
      <c r="A133" s="29" t="s">
        <v>101</v>
      </c>
      <c r="B133" s="85">
        <v>26360905.98</v>
      </c>
      <c r="C133" s="85">
        <v>26780012.32</v>
      </c>
      <c r="D133" s="85">
        <v>26774654.34</v>
      </c>
      <c r="E133" s="85">
        <v>26578469.800000001</v>
      </c>
      <c r="F133" s="85">
        <v>27086432.690000001</v>
      </c>
      <c r="G133" s="85">
        <v>27078483.18</v>
      </c>
      <c r="H133" s="85">
        <v>27208995.510000002</v>
      </c>
      <c r="I133" s="85">
        <v>27167978.25</v>
      </c>
      <c r="J133" s="85">
        <v>31003890.98</v>
      </c>
      <c r="K133" s="85">
        <v>31476710.670000002</v>
      </c>
      <c r="L133" s="85">
        <v>31517407.390000001</v>
      </c>
      <c r="M133" s="85">
        <v>31121558.18</v>
      </c>
      <c r="N133" s="57">
        <f>N134+N135+N136</f>
        <v>0</v>
      </c>
      <c r="O133" s="57">
        <f>O134+O135+O136</f>
        <v>0</v>
      </c>
      <c r="P133" s="57">
        <f>P134+P135+P136</f>
        <v>0</v>
      </c>
      <c r="Q133" s="57">
        <f>Q134+Q135+Q136</f>
        <v>0</v>
      </c>
      <c r="R133" s="57">
        <f>R134+R135+R136</f>
        <v>0</v>
      </c>
    </row>
    <row r="134" spans="1:18" x14ac:dyDescent="0.25">
      <c r="A134" s="29" t="s">
        <v>102</v>
      </c>
      <c r="B134" s="85">
        <v>4338470.5199999996</v>
      </c>
      <c r="C134" s="85">
        <v>4394222.04</v>
      </c>
      <c r="D134" s="85">
        <v>4288577.04</v>
      </c>
      <c r="E134" s="85">
        <v>4211146.5199999996</v>
      </c>
      <c r="F134" s="85">
        <v>4299380.42</v>
      </c>
      <c r="G134" s="85">
        <v>4206016.5199999996</v>
      </c>
      <c r="H134" s="85">
        <v>4238213.33</v>
      </c>
      <c r="I134" s="85">
        <v>4206880.8499999996</v>
      </c>
      <c r="J134" s="85">
        <v>4491638.3</v>
      </c>
      <c r="K134" s="85">
        <v>4537952.51</v>
      </c>
      <c r="L134" s="85">
        <v>4547703.6100000003</v>
      </c>
      <c r="M134" s="85">
        <v>4407707.17</v>
      </c>
      <c r="N134" s="57"/>
      <c r="O134" s="57"/>
      <c r="P134" s="57"/>
      <c r="Q134" s="57"/>
      <c r="R134" s="57"/>
    </row>
    <row r="135" spans="1:18" x14ac:dyDescent="0.25">
      <c r="A135" s="29" t="s">
        <v>103</v>
      </c>
      <c r="B135" s="85">
        <v>24954.07</v>
      </c>
      <c r="C135" s="85">
        <v>25985.67</v>
      </c>
      <c r="D135" s="85">
        <v>29980.6</v>
      </c>
      <c r="E135" s="85">
        <v>25460.92</v>
      </c>
      <c r="F135" s="85">
        <v>37390.01</v>
      </c>
      <c r="G135" s="85">
        <v>38589.480000000003</v>
      </c>
      <c r="H135" s="85">
        <v>23183.34</v>
      </c>
      <c r="I135" s="85">
        <v>51685.19</v>
      </c>
      <c r="J135" s="85">
        <v>15667.12</v>
      </c>
      <c r="K135" s="85">
        <v>41470.67</v>
      </c>
      <c r="L135" s="85">
        <v>56171.89</v>
      </c>
      <c r="M135" s="85">
        <v>54594.080000000002</v>
      </c>
      <c r="N135" s="57"/>
      <c r="O135" s="57"/>
      <c r="P135" s="57"/>
      <c r="Q135" s="57"/>
      <c r="R135" s="57"/>
    </row>
    <row r="136" spans="1:18" x14ac:dyDescent="0.25">
      <c r="A136" s="32" t="s">
        <v>113</v>
      </c>
      <c r="B136" s="85">
        <v>21036548.460000001</v>
      </c>
      <c r="C136" s="85">
        <v>21071387.510000002</v>
      </c>
      <c r="D136" s="85">
        <v>21105025.710000001</v>
      </c>
      <c r="E136" s="85">
        <v>21129174.09</v>
      </c>
      <c r="F136" s="85">
        <v>21199432.390000001</v>
      </c>
      <c r="G136" s="85">
        <v>21250880.66</v>
      </c>
      <c r="H136" s="85">
        <v>21315032.620000001</v>
      </c>
      <c r="I136" s="85">
        <v>21351306.5</v>
      </c>
      <c r="J136" s="85">
        <v>22607371.079999998</v>
      </c>
      <c r="K136" s="85">
        <v>22678217.739999998</v>
      </c>
      <c r="L136" s="85">
        <v>22740729.309999999</v>
      </c>
      <c r="M136" s="85">
        <v>22778731.5</v>
      </c>
      <c r="N136" s="57"/>
      <c r="O136" s="57"/>
      <c r="P136" s="57"/>
      <c r="Q136" s="57"/>
      <c r="R136" s="57"/>
    </row>
    <row r="137" spans="1:18" x14ac:dyDescent="0.25">
      <c r="A137" s="32" t="s">
        <v>114</v>
      </c>
      <c r="B137" s="85">
        <v>9961810.6799999997</v>
      </c>
      <c r="C137" s="85">
        <v>9990938.6199999992</v>
      </c>
      <c r="D137" s="85">
        <v>10011109.67</v>
      </c>
      <c r="E137" s="85">
        <v>10030640.060000001</v>
      </c>
      <c r="F137" s="85">
        <v>10061525.470000001</v>
      </c>
      <c r="G137" s="85">
        <v>10090829.25</v>
      </c>
      <c r="H137" s="85">
        <v>10123814.050000001</v>
      </c>
      <c r="I137" s="85">
        <v>10149953.039999999</v>
      </c>
      <c r="J137" s="85">
        <v>10993562.050000001</v>
      </c>
      <c r="K137" s="85">
        <v>11020687.24</v>
      </c>
      <c r="L137" s="85">
        <v>11053613.369999999</v>
      </c>
      <c r="M137" s="85">
        <v>11063389.029999999</v>
      </c>
      <c r="N137" s="57"/>
      <c r="O137" s="57"/>
      <c r="P137" s="57"/>
      <c r="Q137" s="57"/>
      <c r="R137" s="57"/>
    </row>
    <row r="138" spans="1:18" x14ac:dyDescent="0.25">
      <c r="A138" s="3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x14ac:dyDescent="0.25">
      <c r="A139" s="92" t="s">
        <v>115</v>
      </c>
      <c r="B139" s="93">
        <f>+B140+B141+B142+B143</f>
        <v>5702</v>
      </c>
      <c r="C139" s="93">
        <f>+C140+C141+C142+C143</f>
        <v>5665</v>
      </c>
      <c r="D139" s="93">
        <f>+D140+D141+D142+D143</f>
        <v>5679</v>
      </c>
      <c r="E139" s="93">
        <f>+E140+E141+E142+E143</f>
        <v>5588</v>
      </c>
      <c r="F139" s="93">
        <f>+F140+F141+F142+F143</f>
        <v>5541</v>
      </c>
      <c r="G139" s="93">
        <f t="shared" ref="G139:M139" si="30">SUM(G140:G143)</f>
        <v>5413</v>
      </c>
      <c r="H139" s="93">
        <f t="shared" si="30"/>
        <v>5489</v>
      </c>
      <c r="I139" s="93">
        <f t="shared" si="30"/>
        <v>5413</v>
      </c>
      <c r="J139" s="93">
        <f t="shared" si="30"/>
        <v>5346</v>
      </c>
      <c r="K139" s="93">
        <f t="shared" si="30"/>
        <v>5376</v>
      </c>
      <c r="L139" s="93">
        <f t="shared" si="30"/>
        <v>5322</v>
      </c>
      <c r="M139" s="93">
        <f t="shared" si="30"/>
        <v>5406</v>
      </c>
      <c r="N139" s="39"/>
      <c r="O139" s="39"/>
      <c r="P139" s="39"/>
      <c r="Q139" s="39"/>
      <c r="R139" s="39"/>
    </row>
    <row r="140" spans="1:18" ht="14.25" customHeight="1" x14ac:dyDescent="0.25">
      <c r="A140" s="32" t="s">
        <v>116</v>
      </c>
      <c r="B140" s="67">
        <v>1047</v>
      </c>
      <c r="C140" s="67">
        <v>969</v>
      </c>
      <c r="D140" s="67">
        <v>939</v>
      </c>
      <c r="E140" s="67">
        <v>955</v>
      </c>
      <c r="F140" s="67">
        <v>970</v>
      </c>
      <c r="G140" s="67">
        <v>922</v>
      </c>
      <c r="H140" s="67">
        <v>1030</v>
      </c>
      <c r="I140" s="67">
        <v>1056</v>
      </c>
      <c r="J140" s="67">
        <v>1060</v>
      </c>
      <c r="K140" s="67">
        <v>1073</v>
      </c>
      <c r="L140" s="67">
        <v>1036</v>
      </c>
      <c r="M140" s="67">
        <v>1055</v>
      </c>
      <c r="N140" s="67"/>
      <c r="O140" s="67"/>
      <c r="P140" s="67"/>
      <c r="Q140" s="67"/>
      <c r="R140" s="67"/>
    </row>
    <row r="141" spans="1:18" ht="15" customHeight="1" x14ac:dyDescent="0.25">
      <c r="A141" s="32" t="s">
        <v>117</v>
      </c>
      <c r="B141" s="67">
        <v>1188</v>
      </c>
      <c r="C141" s="67">
        <v>1210</v>
      </c>
      <c r="D141" s="67">
        <v>1261</v>
      </c>
      <c r="E141" s="67">
        <v>1225</v>
      </c>
      <c r="F141" s="67">
        <v>1159</v>
      </c>
      <c r="G141" s="67">
        <v>1071</v>
      </c>
      <c r="H141" s="67">
        <v>1057</v>
      </c>
      <c r="I141" s="67">
        <v>991</v>
      </c>
      <c r="J141" s="67">
        <v>982</v>
      </c>
      <c r="K141" s="67">
        <v>1045</v>
      </c>
      <c r="L141" s="67">
        <v>1055</v>
      </c>
      <c r="M141" s="67">
        <v>1128</v>
      </c>
      <c r="N141" s="67"/>
      <c r="O141" s="67"/>
      <c r="P141" s="67"/>
      <c r="Q141" s="67"/>
      <c r="R141" s="67"/>
    </row>
    <row r="142" spans="1:18" x14ac:dyDescent="0.25">
      <c r="A142" s="32" t="s">
        <v>118</v>
      </c>
      <c r="B142" s="67">
        <v>764</v>
      </c>
      <c r="C142" s="67">
        <v>765</v>
      </c>
      <c r="D142" s="67">
        <v>759</v>
      </c>
      <c r="E142" s="67">
        <v>726</v>
      </c>
      <c r="F142" s="67">
        <v>740</v>
      </c>
      <c r="G142" s="67">
        <v>726</v>
      </c>
      <c r="H142" s="67">
        <v>695</v>
      </c>
      <c r="I142" s="67">
        <v>704</v>
      </c>
      <c r="J142" s="67">
        <v>664</v>
      </c>
      <c r="K142" s="67">
        <v>572</v>
      </c>
      <c r="L142" s="67">
        <v>563</v>
      </c>
      <c r="M142" s="67">
        <v>534</v>
      </c>
      <c r="N142" s="67"/>
      <c r="O142" s="67"/>
      <c r="P142" s="67"/>
      <c r="Q142" s="67"/>
      <c r="R142" s="67"/>
    </row>
    <row r="143" spans="1:18" ht="15" customHeight="1" x14ac:dyDescent="0.25">
      <c r="A143" s="32" t="s">
        <v>119</v>
      </c>
      <c r="B143" s="67">
        <v>2703</v>
      </c>
      <c r="C143" s="67">
        <v>2721</v>
      </c>
      <c r="D143" s="67">
        <v>2720</v>
      </c>
      <c r="E143" s="67">
        <v>2682</v>
      </c>
      <c r="F143" s="67">
        <v>2672</v>
      </c>
      <c r="G143" s="67">
        <v>2694</v>
      </c>
      <c r="H143" s="67">
        <v>2707</v>
      </c>
      <c r="I143" s="67">
        <v>2662</v>
      </c>
      <c r="J143" s="67">
        <v>2640</v>
      </c>
      <c r="K143" s="67">
        <v>2686</v>
      </c>
      <c r="L143" s="67">
        <v>2668</v>
      </c>
      <c r="M143" s="67">
        <v>2689</v>
      </c>
      <c r="N143" s="67"/>
      <c r="O143" s="67"/>
      <c r="P143" s="67"/>
      <c r="Q143" s="67"/>
      <c r="R143" s="67"/>
    </row>
    <row r="144" spans="1:18" x14ac:dyDescent="0.25">
      <c r="A144" s="3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9" x14ac:dyDescent="0.25">
      <c r="A145" s="34" t="s">
        <v>120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9" ht="15" customHeight="1" x14ac:dyDescent="0.25">
      <c r="A146" s="32" t="s">
        <v>121</v>
      </c>
      <c r="B146" s="58">
        <v>318.38627101350193</v>
      </c>
      <c r="C146" s="58">
        <f t="shared" ref="C146:M148" si="31">B146*1.006</f>
        <v>320.29658863958292</v>
      </c>
      <c r="D146" s="58">
        <f t="shared" si="31"/>
        <v>322.21836817142042</v>
      </c>
      <c r="E146" s="58">
        <f t="shared" si="31"/>
        <v>324.15167838044897</v>
      </c>
      <c r="F146" s="58">
        <f t="shared" si="31"/>
        <v>326.09658845073164</v>
      </c>
      <c r="G146" s="58">
        <f t="shared" si="31"/>
        <v>328.05316798143605</v>
      </c>
      <c r="H146" s="58">
        <f t="shared" si="31"/>
        <v>330.02148698932467</v>
      </c>
      <c r="I146" s="58">
        <f t="shared" si="31"/>
        <v>332.00161591126061</v>
      </c>
      <c r="J146" s="58">
        <f t="shared" si="31"/>
        <v>333.99362560672819</v>
      </c>
      <c r="K146" s="58">
        <f t="shared" si="31"/>
        <v>335.99758736036858</v>
      </c>
      <c r="L146" s="58">
        <f t="shared" si="31"/>
        <v>338.01357288453079</v>
      </c>
      <c r="M146" s="58">
        <f t="shared" si="31"/>
        <v>340.041654321838</v>
      </c>
      <c r="N146" s="57"/>
      <c r="O146" s="57"/>
      <c r="P146" s="57"/>
      <c r="Q146" s="57"/>
      <c r="R146" s="57"/>
    </row>
    <row r="147" spans="1:19" ht="15" customHeight="1" x14ac:dyDescent="0.25">
      <c r="A147" s="32" t="s">
        <v>122</v>
      </c>
      <c r="B147" s="58">
        <v>511.41949573920846</v>
      </c>
      <c r="C147" s="58">
        <f t="shared" si="31"/>
        <v>514.48801271364368</v>
      </c>
      <c r="D147" s="58">
        <f t="shared" si="31"/>
        <v>517.57494078992556</v>
      </c>
      <c r="E147" s="58">
        <f t="shared" si="31"/>
        <v>520.68039043466513</v>
      </c>
      <c r="F147" s="58">
        <f t="shared" si="31"/>
        <v>523.80447277727308</v>
      </c>
      <c r="G147" s="58">
        <f t="shared" si="31"/>
        <v>526.94729961393671</v>
      </c>
      <c r="H147" s="58">
        <f t="shared" si="31"/>
        <v>530.10898341162033</v>
      </c>
      <c r="I147" s="58">
        <f t="shared" si="31"/>
        <v>533.28963731209001</v>
      </c>
      <c r="J147" s="58">
        <f t="shared" si="31"/>
        <v>536.48937513596252</v>
      </c>
      <c r="K147" s="58">
        <f t="shared" si="31"/>
        <v>539.70831138677829</v>
      </c>
      <c r="L147" s="58">
        <f t="shared" si="31"/>
        <v>542.94656125509891</v>
      </c>
      <c r="M147" s="58">
        <f t="shared" si="31"/>
        <v>546.20424062262953</v>
      </c>
      <c r="N147" s="57"/>
      <c r="O147" s="57"/>
      <c r="P147" s="57"/>
      <c r="Q147" s="57"/>
      <c r="R147" s="57"/>
    </row>
    <row r="148" spans="1:19" ht="14.25" customHeight="1" x14ac:dyDescent="0.25">
      <c r="A148" s="32" t="s">
        <v>123</v>
      </c>
      <c r="B148" s="58">
        <v>2564.5201903915363</v>
      </c>
      <c r="C148" s="58">
        <f t="shared" si="31"/>
        <v>2579.9073115338856</v>
      </c>
      <c r="D148" s="58">
        <f t="shared" si="31"/>
        <v>2595.386755403089</v>
      </c>
      <c r="E148" s="58">
        <f t="shared" si="31"/>
        <v>2610.9590759355074</v>
      </c>
      <c r="F148" s="58">
        <f t="shared" si="31"/>
        <v>2626.6248303911202</v>
      </c>
      <c r="G148" s="58">
        <f t="shared" si="31"/>
        <v>2642.3845793734667</v>
      </c>
      <c r="H148" s="58">
        <f t="shared" si="31"/>
        <v>2658.2388868497073</v>
      </c>
      <c r="I148" s="58">
        <f t="shared" si="31"/>
        <v>2674.1883201708056</v>
      </c>
      <c r="J148" s="58">
        <f t="shared" si="31"/>
        <v>2690.2334500918305</v>
      </c>
      <c r="K148" s="58">
        <f t="shared" si="31"/>
        <v>2706.3748507923815</v>
      </c>
      <c r="L148" s="58">
        <f t="shared" si="31"/>
        <v>2722.6130998971357</v>
      </c>
      <c r="M148" s="58">
        <f t="shared" si="31"/>
        <v>2738.9487784965186</v>
      </c>
      <c r="N148" s="57"/>
      <c r="O148" s="57"/>
      <c r="P148" s="57"/>
      <c r="Q148" s="57"/>
      <c r="R148" s="57"/>
    </row>
    <row r="149" spans="1:19" x14ac:dyDescent="0.25">
      <c r="A149" s="62" t="s">
        <v>124</v>
      </c>
      <c r="B149" s="57" t="s">
        <v>125</v>
      </c>
      <c r="C149" s="57" t="s">
        <v>125</v>
      </c>
      <c r="D149" s="57" t="s">
        <v>125</v>
      </c>
      <c r="E149" s="57" t="s">
        <v>125</v>
      </c>
      <c r="F149" s="57" t="s">
        <v>125</v>
      </c>
      <c r="G149" s="57" t="s">
        <v>125</v>
      </c>
      <c r="H149" s="57" t="s">
        <v>125</v>
      </c>
      <c r="I149" s="57" t="s">
        <v>125</v>
      </c>
      <c r="J149" s="57" t="s">
        <v>125</v>
      </c>
      <c r="K149" s="57" t="s">
        <v>125</v>
      </c>
      <c r="L149" s="57" t="s">
        <v>125</v>
      </c>
      <c r="M149" s="57" t="s">
        <v>125</v>
      </c>
      <c r="N149" s="57"/>
      <c r="O149" s="57"/>
      <c r="P149" s="57"/>
      <c r="Q149" s="57"/>
      <c r="R149" s="57"/>
    </row>
    <row r="150" spans="1:19" ht="14.25" customHeight="1" x14ac:dyDescent="0.25">
      <c r="A150" s="77"/>
      <c r="B150" s="103"/>
      <c r="C150" s="104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</row>
    <row r="151" spans="1:19" x14ac:dyDescent="0.25">
      <c r="A151" s="105"/>
      <c r="B151" s="106"/>
      <c r="C151" s="106"/>
      <c r="D151" s="106"/>
      <c r="E151" s="106"/>
      <c r="F151" s="106"/>
      <c r="G151" s="106"/>
      <c r="H151" s="106"/>
      <c r="I151" s="106"/>
      <c r="J151" s="103"/>
      <c r="K151" s="103"/>
      <c r="L151" s="106"/>
      <c r="M151" s="106"/>
      <c r="N151" s="106"/>
      <c r="O151" s="106"/>
      <c r="P151" s="106"/>
      <c r="Q151" s="106"/>
      <c r="R151" s="106"/>
    </row>
    <row r="152" spans="1:19" x14ac:dyDescent="0.25">
      <c r="A152" s="52" t="s">
        <v>126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</row>
    <row r="153" spans="1:19" x14ac:dyDescent="0.25">
      <c r="A153" s="64" t="s">
        <v>126</v>
      </c>
      <c r="B153" s="63">
        <f t="shared" ref="B153:M153" si="32">+B155/B154</f>
        <v>0.99</v>
      </c>
      <c r="C153" s="63">
        <f t="shared" si="32"/>
        <v>0.99</v>
      </c>
      <c r="D153" s="63">
        <f t="shared" si="32"/>
        <v>0.99</v>
      </c>
      <c r="E153" s="63">
        <f t="shared" si="32"/>
        <v>0.99</v>
      </c>
      <c r="F153" s="63">
        <f t="shared" si="32"/>
        <v>0.99</v>
      </c>
      <c r="G153" s="63">
        <f t="shared" si="32"/>
        <v>0.99</v>
      </c>
      <c r="H153" s="63">
        <f t="shared" si="32"/>
        <v>0.99</v>
      </c>
      <c r="I153" s="63">
        <f t="shared" si="32"/>
        <v>0.99</v>
      </c>
      <c r="J153" s="63">
        <f t="shared" si="32"/>
        <v>0.99</v>
      </c>
      <c r="K153" s="63">
        <f t="shared" si="32"/>
        <v>0.99</v>
      </c>
      <c r="L153" s="63">
        <f t="shared" si="32"/>
        <v>0.99</v>
      </c>
      <c r="M153" s="63">
        <f t="shared" si="32"/>
        <v>0.99</v>
      </c>
      <c r="N153" s="63"/>
      <c r="O153" s="63"/>
      <c r="P153" s="63"/>
      <c r="Q153" s="63"/>
      <c r="R153" s="63"/>
    </row>
    <row r="154" spans="1:19" x14ac:dyDescent="0.25">
      <c r="A154" s="62" t="s">
        <v>127</v>
      </c>
      <c r="B154" s="67">
        <v>65753</v>
      </c>
      <c r="C154" s="67">
        <v>65753</v>
      </c>
      <c r="D154" s="67">
        <v>65753</v>
      </c>
      <c r="E154" s="67">
        <v>65753</v>
      </c>
      <c r="F154" s="67">
        <v>65753</v>
      </c>
      <c r="G154" s="67">
        <v>65753</v>
      </c>
      <c r="H154" s="67">
        <v>65753</v>
      </c>
      <c r="I154" s="67">
        <v>65753</v>
      </c>
      <c r="J154" s="107">
        <v>65753</v>
      </c>
      <c r="K154" s="107">
        <v>65753</v>
      </c>
      <c r="L154" s="67">
        <v>65753</v>
      </c>
      <c r="M154" s="67">
        <v>65753</v>
      </c>
      <c r="N154" s="67"/>
      <c r="O154" s="67"/>
      <c r="P154" s="67"/>
      <c r="Q154" s="67"/>
      <c r="R154" s="67"/>
    </row>
    <row r="155" spans="1:19" x14ac:dyDescent="0.25">
      <c r="A155" s="62" t="s">
        <v>128</v>
      </c>
      <c r="B155" s="67">
        <f t="shared" ref="B155:I155" si="33">B154*0.99</f>
        <v>65095.47</v>
      </c>
      <c r="C155" s="67">
        <f t="shared" si="33"/>
        <v>65095.47</v>
      </c>
      <c r="D155" s="67">
        <f t="shared" si="33"/>
        <v>65095.47</v>
      </c>
      <c r="E155" s="67">
        <f t="shared" si="33"/>
        <v>65095.47</v>
      </c>
      <c r="F155" s="67">
        <f t="shared" si="33"/>
        <v>65095.47</v>
      </c>
      <c r="G155" s="67">
        <f t="shared" si="33"/>
        <v>65095.47</v>
      </c>
      <c r="H155" s="67">
        <f t="shared" si="33"/>
        <v>65095.47</v>
      </c>
      <c r="I155" s="67">
        <f t="shared" si="33"/>
        <v>65095.47</v>
      </c>
      <c r="J155" s="67">
        <f>J154*0.99</f>
        <v>65095.47</v>
      </c>
      <c r="K155" s="67">
        <f>K154*0.99</f>
        <v>65095.47</v>
      </c>
      <c r="L155" s="67">
        <f>L154*0.99</f>
        <v>65095.47</v>
      </c>
      <c r="M155" s="67">
        <f>M154*0.99</f>
        <v>65095.47</v>
      </c>
      <c r="N155" s="67"/>
      <c r="O155" s="67"/>
      <c r="P155" s="67"/>
      <c r="Q155" s="67"/>
      <c r="R155" s="67"/>
    </row>
    <row r="156" spans="1:19" x14ac:dyDescent="0.25">
      <c r="A156" s="62" t="s">
        <v>129</v>
      </c>
      <c r="B156" s="67">
        <f t="shared" ref="B156:I156" si="34">B154*0.98</f>
        <v>64437.94</v>
      </c>
      <c r="C156" s="67">
        <f t="shared" si="34"/>
        <v>64437.94</v>
      </c>
      <c r="D156" s="67">
        <f t="shared" si="34"/>
        <v>64437.94</v>
      </c>
      <c r="E156" s="67">
        <f t="shared" si="34"/>
        <v>64437.94</v>
      </c>
      <c r="F156" s="67">
        <f t="shared" si="34"/>
        <v>64437.94</v>
      </c>
      <c r="G156" s="67">
        <f t="shared" si="34"/>
        <v>64437.94</v>
      </c>
      <c r="H156" s="67">
        <f t="shared" si="34"/>
        <v>64437.94</v>
      </c>
      <c r="I156" s="67">
        <f t="shared" si="34"/>
        <v>64437.94</v>
      </c>
      <c r="J156" s="67">
        <f>J154*0.98</f>
        <v>64437.94</v>
      </c>
      <c r="K156" s="67">
        <f>K154*0.98</f>
        <v>64437.94</v>
      </c>
      <c r="L156" s="67">
        <f>L154*0.98</f>
        <v>64437.94</v>
      </c>
      <c r="M156" s="67">
        <f>M154*0.98</f>
        <v>64437.94</v>
      </c>
      <c r="N156" s="67"/>
      <c r="O156" s="67"/>
      <c r="P156" s="67"/>
      <c r="Q156" s="67"/>
      <c r="R156" s="67"/>
    </row>
    <row r="157" spans="1:19" x14ac:dyDescent="0.25">
      <c r="A157" s="62" t="s">
        <v>130</v>
      </c>
      <c r="B157" s="67">
        <v>0</v>
      </c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</v>
      </c>
      <c r="N157" s="67"/>
      <c r="O157" s="67"/>
      <c r="P157" s="67"/>
      <c r="Q157" s="67"/>
      <c r="R157" s="67"/>
    </row>
    <row r="158" spans="1:19" x14ac:dyDescent="0.25">
      <c r="A158" s="62" t="s">
        <v>131</v>
      </c>
      <c r="B158" s="67">
        <v>0</v>
      </c>
      <c r="C158" s="67">
        <v>0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  <c r="N158" s="67"/>
      <c r="O158" s="67"/>
      <c r="P158" s="67"/>
      <c r="Q158" s="67"/>
      <c r="R158" s="67"/>
    </row>
    <row r="159" spans="1:19" x14ac:dyDescent="0.25">
      <c r="A159" s="62" t="s">
        <v>132</v>
      </c>
      <c r="B159" s="67">
        <v>16005</v>
      </c>
      <c r="C159" s="67">
        <v>15687</v>
      </c>
      <c r="D159" s="67">
        <v>15688</v>
      </c>
      <c r="E159" s="67">
        <v>16184</v>
      </c>
      <c r="F159" s="67">
        <v>15455</v>
      </c>
      <c r="G159" s="67">
        <v>15746</v>
      </c>
      <c r="H159" s="67">
        <v>16373</v>
      </c>
      <c r="I159" s="67">
        <v>16509</v>
      </c>
      <c r="J159" s="67">
        <v>16066</v>
      </c>
      <c r="K159" s="66">
        <v>15880</v>
      </c>
      <c r="L159" s="67">
        <v>15669</v>
      </c>
      <c r="M159" s="67">
        <v>16403</v>
      </c>
      <c r="N159" s="67"/>
      <c r="O159" s="67"/>
      <c r="P159" s="67"/>
      <c r="Q159" s="67"/>
      <c r="R159" s="67"/>
      <c r="S159" s="48">
        <v>15</v>
      </c>
    </row>
    <row r="160" spans="1:19" x14ac:dyDescent="0.25">
      <c r="A160" s="62" t="s">
        <v>133</v>
      </c>
      <c r="B160" s="67">
        <v>3272</v>
      </c>
      <c r="C160" s="67">
        <v>3681</v>
      </c>
      <c r="D160" s="67">
        <v>3797</v>
      </c>
      <c r="E160" s="67">
        <v>3874</v>
      </c>
      <c r="F160" s="67">
        <v>3928</v>
      </c>
      <c r="G160" s="67">
        <v>3989</v>
      </c>
      <c r="H160" s="67">
        <v>4028</v>
      </c>
      <c r="I160" s="67">
        <v>4065</v>
      </c>
      <c r="J160" s="67">
        <v>4103</v>
      </c>
      <c r="K160" s="66">
        <v>4121</v>
      </c>
      <c r="L160" s="67">
        <v>4120</v>
      </c>
      <c r="M160" s="67">
        <v>4122</v>
      </c>
      <c r="N160" s="67"/>
      <c r="O160" s="67"/>
      <c r="P160" s="67"/>
      <c r="Q160" s="67"/>
      <c r="R160" s="67"/>
      <c r="S160" s="48">
        <v>16</v>
      </c>
    </row>
    <row r="161" spans="1:18" x14ac:dyDescent="0.25">
      <c r="A161" s="62" t="s">
        <v>134</v>
      </c>
      <c r="B161" s="57">
        <v>1.2</v>
      </c>
      <c r="C161" s="57">
        <v>1.2</v>
      </c>
      <c r="D161" s="57">
        <v>1.2</v>
      </c>
      <c r="E161" s="57">
        <v>1.2</v>
      </c>
      <c r="F161" s="57">
        <v>1.2</v>
      </c>
      <c r="G161" s="57">
        <v>1.2</v>
      </c>
      <c r="H161" s="57">
        <v>1.2</v>
      </c>
      <c r="I161" s="57">
        <v>1.2</v>
      </c>
      <c r="J161" s="57">
        <v>1.2</v>
      </c>
      <c r="K161" s="108">
        <v>1.2</v>
      </c>
      <c r="L161" s="108">
        <v>1.2</v>
      </c>
      <c r="M161" s="108">
        <v>1.2</v>
      </c>
      <c r="N161" s="67"/>
      <c r="O161" s="67"/>
      <c r="P161" s="67"/>
      <c r="Q161" s="67"/>
      <c r="R161" s="67"/>
    </row>
    <row r="162" spans="1:18" x14ac:dyDescent="0.25">
      <c r="A162" s="62" t="s">
        <v>135</v>
      </c>
      <c r="B162" s="57">
        <v>1.4</v>
      </c>
      <c r="C162" s="57">
        <v>1.4</v>
      </c>
      <c r="D162" s="57">
        <v>1.4</v>
      </c>
      <c r="E162" s="57">
        <v>1.4</v>
      </c>
      <c r="F162" s="57">
        <v>1.4</v>
      </c>
      <c r="G162" s="57">
        <v>1.4</v>
      </c>
      <c r="H162" s="57">
        <v>1.4</v>
      </c>
      <c r="I162" s="57">
        <v>1.4</v>
      </c>
      <c r="J162" s="57">
        <v>1.4</v>
      </c>
      <c r="K162" s="108">
        <v>1.4</v>
      </c>
      <c r="L162" s="108">
        <v>1.4</v>
      </c>
      <c r="M162" s="108">
        <v>1.4</v>
      </c>
      <c r="N162" s="67"/>
      <c r="O162" s="67"/>
      <c r="P162" s="67"/>
      <c r="Q162" s="67"/>
      <c r="R162" s="67"/>
    </row>
    <row r="163" spans="1:18" x14ac:dyDescent="0.25">
      <c r="A163" s="62" t="s">
        <v>136</v>
      </c>
      <c r="B163" s="57">
        <v>1.7</v>
      </c>
      <c r="C163" s="57">
        <v>1.7</v>
      </c>
      <c r="D163" s="57">
        <v>1.7</v>
      </c>
      <c r="E163" s="57">
        <v>1.7</v>
      </c>
      <c r="F163" s="57">
        <v>1.7</v>
      </c>
      <c r="G163" s="57">
        <v>1.7</v>
      </c>
      <c r="H163" s="57">
        <v>1.7</v>
      </c>
      <c r="I163" s="57">
        <v>1.7</v>
      </c>
      <c r="J163" s="57">
        <v>1.7</v>
      </c>
      <c r="K163" s="108">
        <v>1.7</v>
      </c>
      <c r="L163" s="108">
        <v>1.7</v>
      </c>
      <c r="M163" s="108">
        <v>1.7</v>
      </c>
      <c r="N163" s="67"/>
      <c r="O163" s="67"/>
      <c r="P163" s="67"/>
      <c r="Q163" s="67"/>
      <c r="R163" s="67"/>
    </row>
    <row r="164" spans="1:18" x14ac:dyDescent="0.25">
      <c r="A164" s="62" t="s">
        <v>137</v>
      </c>
      <c r="B164" s="109">
        <v>240.50300000000001</v>
      </c>
      <c r="C164" s="109">
        <f t="shared" ref="C164:H165" si="35">B164</f>
        <v>240.50300000000001</v>
      </c>
      <c r="D164" s="110">
        <f t="shared" si="35"/>
        <v>240.50300000000001</v>
      </c>
      <c r="E164" s="109">
        <f t="shared" si="35"/>
        <v>240.50300000000001</v>
      </c>
      <c r="F164" s="109">
        <f t="shared" si="35"/>
        <v>240.50300000000001</v>
      </c>
      <c r="G164" s="109">
        <f t="shared" si="35"/>
        <v>240.50300000000001</v>
      </c>
      <c r="H164" s="109">
        <f t="shared" si="35"/>
        <v>240.50300000000001</v>
      </c>
      <c r="I164" s="109">
        <f>H164+0</f>
        <v>240.50300000000001</v>
      </c>
      <c r="J164" s="110">
        <f>I164</f>
        <v>240.50300000000001</v>
      </c>
      <c r="K164" s="110">
        <f>J164</f>
        <v>240.50300000000001</v>
      </c>
      <c r="L164" s="109">
        <f>K164</f>
        <v>240.50300000000001</v>
      </c>
      <c r="M164" s="109">
        <f>L164</f>
        <v>240.50300000000001</v>
      </c>
      <c r="N164" s="67"/>
      <c r="O164" s="67"/>
      <c r="P164" s="67"/>
      <c r="Q164" s="67"/>
      <c r="R164" s="67"/>
    </row>
    <row r="165" spans="1:18" x14ac:dyDescent="0.25">
      <c r="A165" s="62" t="s">
        <v>138</v>
      </c>
      <c r="B165" s="67">
        <v>190.06800000000001</v>
      </c>
      <c r="C165" s="67">
        <f t="shared" si="35"/>
        <v>190.06800000000001</v>
      </c>
      <c r="D165" s="66">
        <f t="shared" si="35"/>
        <v>190.06800000000001</v>
      </c>
      <c r="E165" s="67">
        <f t="shared" si="35"/>
        <v>190.06800000000001</v>
      </c>
      <c r="F165" s="67">
        <f t="shared" si="35"/>
        <v>190.06800000000001</v>
      </c>
      <c r="G165" s="67">
        <f t="shared" si="35"/>
        <v>190.06800000000001</v>
      </c>
      <c r="H165" s="67">
        <f t="shared" si="35"/>
        <v>190.06800000000001</v>
      </c>
      <c r="I165" s="67">
        <f>H165</f>
        <v>190.06800000000001</v>
      </c>
      <c r="J165" s="58">
        <f>I165</f>
        <v>190.06800000000001</v>
      </c>
      <c r="K165" s="110">
        <f>J165</f>
        <v>190.06800000000001</v>
      </c>
      <c r="L165" s="109">
        <f>K165+0.269</f>
        <v>190.33700000000002</v>
      </c>
      <c r="M165" s="111">
        <f>L165+0.56</f>
        <v>190.89700000000002</v>
      </c>
      <c r="N165" s="111"/>
      <c r="O165" s="111"/>
      <c r="P165" s="111"/>
      <c r="Q165" s="111"/>
      <c r="R165" s="111"/>
    </row>
    <row r="166" spans="1:18" x14ac:dyDescent="0.25">
      <c r="A166" s="62" t="s">
        <v>139</v>
      </c>
      <c r="B166" s="67">
        <v>0</v>
      </c>
      <c r="C166" s="57">
        <v>0</v>
      </c>
      <c r="D166" s="58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8">
        <v>0</v>
      </c>
      <c r="K166" s="58">
        <v>0.20499999999999999</v>
      </c>
      <c r="L166" s="57">
        <v>0</v>
      </c>
      <c r="M166" s="57">
        <v>0</v>
      </c>
      <c r="N166" s="57"/>
      <c r="O166" s="57"/>
      <c r="P166" s="57"/>
      <c r="Q166" s="57"/>
      <c r="R166" s="57"/>
    </row>
    <row r="167" spans="1:18" x14ac:dyDescent="0.25">
      <c r="A167" s="62" t="s">
        <v>140</v>
      </c>
      <c r="B167" s="112">
        <v>14</v>
      </c>
      <c r="C167" s="90">
        <v>46</v>
      </c>
      <c r="D167" s="90">
        <v>3</v>
      </c>
      <c r="E167" s="57">
        <v>11</v>
      </c>
      <c r="F167" s="57">
        <v>17</v>
      </c>
      <c r="G167" s="57">
        <v>16</v>
      </c>
      <c r="H167" s="57">
        <v>13</v>
      </c>
      <c r="I167" s="58">
        <v>135</v>
      </c>
      <c r="J167" s="57">
        <v>520</v>
      </c>
      <c r="K167" s="58">
        <v>485</v>
      </c>
      <c r="L167" s="57">
        <v>78</v>
      </c>
      <c r="M167" s="57">
        <v>9</v>
      </c>
      <c r="N167" s="57"/>
      <c r="O167" s="57"/>
      <c r="P167" s="57"/>
      <c r="Q167" s="57"/>
      <c r="R167" s="57"/>
    </row>
    <row r="168" spans="1:18" x14ac:dyDescent="0.25">
      <c r="A168" s="64" t="s">
        <v>141</v>
      </c>
      <c r="B168" s="67">
        <f>B113-23988</f>
        <v>97</v>
      </c>
      <c r="C168" s="67">
        <f>C113-B113</f>
        <v>80</v>
      </c>
      <c r="D168" s="67">
        <f>D113-C113</f>
        <v>56</v>
      </c>
      <c r="E168" s="67">
        <f>E113</f>
        <v>24317</v>
      </c>
      <c r="F168" s="67">
        <f>F113</f>
        <v>24375</v>
      </c>
      <c r="G168" s="67">
        <f t="shared" ref="G168:M168" si="36">G113</f>
        <v>24417</v>
      </c>
      <c r="H168" s="67">
        <f t="shared" si="36"/>
        <v>24451</v>
      </c>
      <c r="I168" s="67">
        <f t="shared" si="36"/>
        <v>24505</v>
      </c>
      <c r="J168" s="67">
        <f t="shared" si="36"/>
        <v>24536</v>
      </c>
      <c r="K168" s="67">
        <f t="shared" si="36"/>
        <v>24573</v>
      </c>
      <c r="L168" s="67">
        <f t="shared" si="36"/>
        <v>24601</v>
      </c>
      <c r="M168" s="67">
        <f t="shared" si="36"/>
        <v>24617</v>
      </c>
      <c r="N168" s="67"/>
      <c r="O168" s="67"/>
      <c r="P168" s="67"/>
      <c r="Q168" s="67"/>
      <c r="R168" s="67"/>
    </row>
    <row r="169" spans="1:18" x14ac:dyDescent="0.25">
      <c r="A169" s="62" t="s">
        <v>142</v>
      </c>
      <c r="B169" s="67">
        <f t="shared" ref="B169:K169" si="37">B113-B167</f>
        <v>24071</v>
      </c>
      <c r="C169" s="67">
        <f t="shared" si="37"/>
        <v>24119</v>
      </c>
      <c r="D169" s="67">
        <f t="shared" si="37"/>
        <v>24218</v>
      </c>
      <c r="E169" s="67">
        <f t="shared" si="37"/>
        <v>24306</v>
      </c>
      <c r="F169" s="67">
        <f t="shared" si="37"/>
        <v>24358</v>
      </c>
      <c r="G169" s="67">
        <f t="shared" si="37"/>
        <v>24401</v>
      </c>
      <c r="H169" s="67">
        <f t="shared" si="37"/>
        <v>24438</v>
      </c>
      <c r="I169" s="67">
        <f t="shared" si="37"/>
        <v>24370</v>
      </c>
      <c r="J169" s="67">
        <f t="shared" si="37"/>
        <v>24016</v>
      </c>
      <c r="K169" s="67">
        <f t="shared" si="37"/>
        <v>24088</v>
      </c>
      <c r="L169" s="67">
        <f>L113-L167</f>
        <v>24523</v>
      </c>
      <c r="M169" s="67">
        <f>M113-M167</f>
        <v>24608</v>
      </c>
      <c r="N169" s="67"/>
      <c r="O169" s="67"/>
      <c r="P169" s="67"/>
      <c r="Q169" s="67"/>
      <c r="R169" s="67"/>
    </row>
    <row r="170" spans="1:18" x14ac:dyDescent="0.25">
      <c r="A170" s="62" t="s">
        <v>143</v>
      </c>
      <c r="B170" s="112">
        <v>0</v>
      </c>
      <c r="C170" s="90">
        <v>0</v>
      </c>
      <c r="D170" s="90">
        <v>0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7">
        <v>0</v>
      </c>
      <c r="M170" s="67">
        <v>0</v>
      </c>
      <c r="N170" s="67"/>
      <c r="O170" s="67"/>
      <c r="P170" s="67"/>
      <c r="Q170" s="67"/>
      <c r="R170" s="67"/>
    </row>
    <row r="171" spans="1:18" x14ac:dyDescent="0.25">
      <c r="A171" s="62" t="s">
        <v>144</v>
      </c>
      <c r="B171" s="67">
        <v>13</v>
      </c>
      <c r="C171" s="67">
        <v>13</v>
      </c>
      <c r="D171" s="67">
        <v>13</v>
      </c>
      <c r="E171" s="67">
        <v>13</v>
      </c>
      <c r="F171" s="67">
        <v>13</v>
      </c>
      <c r="G171" s="67">
        <v>13</v>
      </c>
      <c r="H171" s="67">
        <v>13</v>
      </c>
      <c r="I171" s="66">
        <v>13</v>
      </c>
      <c r="J171" s="67">
        <v>13</v>
      </c>
      <c r="K171" s="67">
        <v>13</v>
      </c>
      <c r="L171" s="67">
        <v>13</v>
      </c>
      <c r="M171" s="67">
        <v>13</v>
      </c>
      <c r="N171" s="67"/>
      <c r="O171" s="67"/>
      <c r="P171" s="67"/>
      <c r="Q171" s="67"/>
      <c r="R171" s="67"/>
    </row>
    <row r="172" spans="1:18" x14ac:dyDescent="0.25">
      <c r="A172" s="62" t="s">
        <v>145</v>
      </c>
      <c r="B172" s="67">
        <v>13</v>
      </c>
      <c r="C172" s="67">
        <v>13</v>
      </c>
      <c r="D172" s="67">
        <v>13</v>
      </c>
      <c r="E172" s="67">
        <v>13</v>
      </c>
      <c r="F172" s="67">
        <v>13</v>
      </c>
      <c r="G172" s="67">
        <v>13</v>
      </c>
      <c r="H172" s="67">
        <v>13</v>
      </c>
      <c r="I172" s="66">
        <v>13</v>
      </c>
      <c r="J172" s="67">
        <v>13</v>
      </c>
      <c r="K172" s="67">
        <v>13</v>
      </c>
      <c r="L172" s="67">
        <v>13</v>
      </c>
      <c r="M172" s="67">
        <v>13</v>
      </c>
      <c r="N172" s="67"/>
      <c r="O172" s="67"/>
      <c r="P172" s="67"/>
      <c r="Q172" s="67"/>
      <c r="R172" s="67"/>
    </row>
    <row r="173" spans="1:18" x14ac:dyDescent="0.25">
      <c r="A173" s="62" t="s">
        <v>146</v>
      </c>
      <c r="B173" s="67">
        <v>0</v>
      </c>
      <c r="C173" s="67">
        <v>0</v>
      </c>
      <c r="D173" s="67">
        <v>0</v>
      </c>
      <c r="E173" s="67"/>
      <c r="F173" s="67"/>
      <c r="G173" s="67"/>
      <c r="H173" s="67"/>
      <c r="I173" s="66"/>
      <c r="J173" s="67"/>
      <c r="K173" s="67"/>
      <c r="L173" s="67"/>
      <c r="M173" s="67"/>
      <c r="N173" s="67"/>
      <c r="O173" s="67"/>
      <c r="P173" s="67"/>
      <c r="Q173" s="67"/>
      <c r="R173" s="67"/>
    </row>
    <row r="174" spans="1:18" x14ac:dyDescent="0.25">
      <c r="A174" s="113" t="s">
        <v>147</v>
      </c>
      <c r="B174" s="98">
        <f t="shared" ref="B174:M174" si="38">+B175+B176+B177+B178+B179</f>
        <v>13</v>
      </c>
      <c r="C174" s="98">
        <f t="shared" si="38"/>
        <v>13</v>
      </c>
      <c r="D174" s="98">
        <f t="shared" si="38"/>
        <v>13</v>
      </c>
      <c r="E174" s="98">
        <f t="shared" si="38"/>
        <v>13</v>
      </c>
      <c r="F174" s="98">
        <f t="shared" si="38"/>
        <v>13</v>
      </c>
      <c r="G174" s="98">
        <f t="shared" si="38"/>
        <v>13</v>
      </c>
      <c r="H174" s="98">
        <f t="shared" si="38"/>
        <v>13</v>
      </c>
      <c r="I174" s="98">
        <f t="shared" si="38"/>
        <v>13</v>
      </c>
      <c r="J174" s="98">
        <f t="shared" si="38"/>
        <v>13</v>
      </c>
      <c r="K174" s="98">
        <f t="shared" si="38"/>
        <v>13</v>
      </c>
      <c r="L174" s="98">
        <f t="shared" si="38"/>
        <v>13</v>
      </c>
      <c r="M174" s="98">
        <f t="shared" si="38"/>
        <v>13</v>
      </c>
      <c r="N174" s="114"/>
      <c r="O174" s="114"/>
      <c r="P174" s="114"/>
      <c r="Q174" s="114"/>
      <c r="R174" s="114"/>
    </row>
    <row r="175" spans="1:18" x14ac:dyDescent="0.25">
      <c r="A175" s="62" t="s">
        <v>148</v>
      </c>
      <c r="B175" s="67">
        <v>13</v>
      </c>
      <c r="C175" s="67">
        <v>13</v>
      </c>
      <c r="D175" s="67">
        <v>13</v>
      </c>
      <c r="E175" s="67">
        <v>13</v>
      </c>
      <c r="F175" s="67">
        <v>13</v>
      </c>
      <c r="G175" s="67">
        <v>13</v>
      </c>
      <c r="H175" s="67">
        <v>13</v>
      </c>
      <c r="I175" s="66">
        <v>13</v>
      </c>
      <c r="J175" s="66">
        <v>13</v>
      </c>
      <c r="K175" s="67">
        <v>13</v>
      </c>
      <c r="L175" s="67">
        <v>13</v>
      </c>
      <c r="M175" s="67">
        <v>13</v>
      </c>
      <c r="N175" s="67"/>
      <c r="O175" s="67"/>
      <c r="P175" s="67"/>
      <c r="Q175" s="67"/>
      <c r="R175" s="67"/>
    </row>
    <row r="176" spans="1:18" x14ac:dyDescent="0.25">
      <c r="A176" s="62" t="s">
        <v>149</v>
      </c>
      <c r="B176" s="67">
        <v>0</v>
      </c>
      <c r="C176" s="67">
        <v>0</v>
      </c>
      <c r="D176" s="67">
        <v>0</v>
      </c>
      <c r="E176" s="67">
        <v>0</v>
      </c>
      <c r="F176" s="67">
        <v>0</v>
      </c>
      <c r="G176" s="67">
        <v>0</v>
      </c>
      <c r="H176" s="67">
        <v>0</v>
      </c>
      <c r="I176" s="66">
        <v>0</v>
      </c>
      <c r="J176" s="66">
        <v>0</v>
      </c>
      <c r="K176" s="67">
        <v>0</v>
      </c>
      <c r="L176" s="67">
        <v>0</v>
      </c>
      <c r="M176" s="67">
        <v>0</v>
      </c>
      <c r="N176" s="67"/>
      <c r="O176" s="67"/>
      <c r="P176" s="67"/>
      <c r="Q176" s="67"/>
      <c r="R176" s="67"/>
    </row>
    <row r="177" spans="1:19" x14ac:dyDescent="0.25">
      <c r="A177" s="62" t="s">
        <v>150</v>
      </c>
      <c r="B177" s="115">
        <v>0</v>
      </c>
      <c r="C177" s="115">
        <v>0</v>
      </c>
      <c r="D177" s="115">
        <v>0</v>
      </c>
      <c r="E177" s="115">
        <v>0</v>
      </c>
      <c r="F177" s="115">
        <v>0</v>
      </c>
      <c r="G177" s="115">
        <v>0</v>
      </c>
      <c r="H177" s="67">
        <v>0</v>
      </c>
      <c r="I177" s="66">
        <v>0</v>
      </c>
      <c r="J177" s="66">
        <v>0</v>
      </c>
      <c r="K177" s="67">
        <v>0</v>
      </c>
      <c r="L177" s="67">
        <v>0</v>
      </c>
      <c r="M177" s="67">
        <v>0</v>
      </c>
      <c r="N177" s="67"/>
      <c r="O177" s="67"/>
      <c r="P177" s="67"/>
      <c r="Q177" s="67"/>
      <c r="R177" s="67"/>
    </row>
    <row r="178" spans="1:19" x14ac:dyDescent="0.25">
      <c r="A178" s="62" t="s">
        <v>151</v>
      </c>
      <c r="B178" s="115">
        <v>0</v>
      </c>
      <c r="C178" s="115">
        <v>0</v>
      </c>
      <c r="D178" s="115">
        <v>0</v>
      </c>
      <c r="E178" s="115">
        <v>0</v>
      </c>
      <c r="F178" s="115">
        <v>0</v>
      </c>
      <c r="G178" s="115">
        <v>0</v>
      </c>
      <c r="H178" s="67">
        <v>0</v>
      </c>
      <c r="I178" s="66">
        <v>0</v>
      </c>
      <c r="J178" s="66">
        <v>0</v>
      </c>
      <c r="K178" s="67">
        <v>0</v>
      </c>
      <c r="L178" s="67">
        <v>0</v>
      </c>
      <c r="M178" s="67">
        <v>0</v>
      </c>
      <c r="N178" s="67"/>
      <c r="O178" s="67"/>
      <c r="P178" s="67"/>
      <c r="Q178" s="67"/>
      <c r="R178" s="67"/>
    </row>
    <row r="179" spans="1:19" x14ac:dyDescent="0.25">
      <c r="A179" s="62" t="s">
        <v>152</v>
      </c>
      <c r="B179" s="115">
        <v>0</v>
      </c>
      <c r="C179" s="115">
        <v>0</v>
      </c>
      <c r="D179" s="115">
        <v>0</v>
      </c>
      <c r="E179" s="115">
        <v>0</v>
      </c>
      <c r="F179" s="115">
        <v>0</v>
      </c>
      <c r="G179" s="115">
        <v>0</v>
      </c>
      <c r="H179" s="67">
        <v>0</v>
      </c>
      <c r="I179" s="66">
        <v>0</v>
      </c>
      <c r="J179" s="66">
        <v>0</v>
      </c>
      <c r="K179" s="67">
        <v>0</v>
      </c>
      <c r="L179" s="67">
        <v>0</v>
      </c>
      <c r="M179" s="67">
        <v>0</v>
      </c>
      <c r="N179" s="67"/>
      <c r="O179" s="67"/>
      <c r="P179" s="67"/>
      <c r="Q179" s="67"/>
      <c r="R179" s="67"/>
    </row>
    <row r="180" spans="1:19" s="118" customFormat="1" ht="22.5" customHeight="1" x14ac:dyDescent="0.25">
      <c r="A180" s="116" t="s">
        <v>153</v>
      </c>
      <c r="B180" s="95">
        <v>13</v>
      </c>
      <c r="C180" s="95">
        <v>13</v>
      </c>
      <c r="D180" s="95">
        <v>13</v>
      </c>
      <c r="E180" s="95">
        <v>13</v>
      </c>
      <c r="F180" s="95">
        <v>13</v>
      </c>
      <c r="G180" s="95">
        <v>13</v>
      </c>
      <c r="H180" s="95">
        <v>13</v>
      </c>
      <c r="I180" s="117">
        <v>13</v>
      </c>
      <c r="J180" s="117">
        <v>13</v>
      </c>
      <c r="K180" s="95">
        <v>13</v>
      </c>
      <c r="L180" s="95">
        <v>13</v>
      </c>
      <c r="M180" s="95">
        <v>13</v>
      </c>
      <c r="N180" s="95"/>
      <c r="O180" s="95"/>
      <c r="P180" s="95"/>
      <c r="Q180" s="95"/>
      <c r="R180" s="95"/>
    </row>
    <row r="181" spans="1:19" x14ac:dyDescent="0.25">
      <c r="A181" s="64"/>
      <c r="B181" s="67"/>
      <c r="C181" s="67"/>
      <c r="D181" s="67"/>
      <c r="E181" s="67"/>
      <c r="F181" s="67"/>
      <c r="G181" s="67"/>
      <c r="H181" s="67"/>
      <c r="I181" s="66"/>
      <c r="J181" s="66"/>
      <c r="K181" s="67"/>
      <c r="L181" s="67"/>
      <c r="M181" s="67"/>
      <c r="N181" s="67"/>
      <c r="O181" s="67"/>
      <c r="P181" s="67"/>
      <c r="Q181" s="67"/>
      <c r="R181" s="67"/>
    </row>
    <row r="182" spans="1:19" x14ac:dyDescent="0.25">
      <c r="A182" s="62" t="s">
        <v>154</v>
      </c>
      <c r="B182" s="67">
        <v>13</v>
      </c>
      <c r="C182" s="67">
        <v>13</v>
      </c>
      <c r="D182" s="67">
        <v>13</v>
      </c>
      <c r="E182" s="67">
        <v>13</v>
      </c>
      <c r="F182" s="67">
        <v>13</v>
      </c>
      <c r="G182" s="67">
        <v>13</v>
      </c>
      <c r="H182" s="67">
        <v>13</v>
      </c>
      <c r="I182" s="66">
        <v>13</v>
      </c>
      <c r="J182" s="67">
        <v>13</v>
      </c>
      <c r="K182" s="67">
        <v>13</v>
      </c>
      <c r="L182" s="67">
        <v>13</v>
      </c>
      <c r="M182" s="67">
        <v>13</v>
      </c>
      <c r="N182" s="67"/>
      <c r="O182" s="67"/>
      <c r="P182" s="67"/>
      <c r="Q182" s="67"/>
      <c r="R182" s="67"/>
    </row>
    <row r="183" spans="1:19" ht="16.5" x14ac:dyDescent="0.25">
      <c r="A183" s="62" t="s">
        <v>155</v>
      </c>
      <c r="B183" s="67">
        <v>3380</v>
      </c>
      <c r="C183" s="67">
        <v>3380</v>
      </c>
      <c r="D183" s="67">
        <v>3380</v>
      </c>
      <c r="E183" s="67">
        <v>3380</v>
      </c>
      <c r="F183" s="67">
        <v>3380</v>
      </c>
      <c r="G183" s="67">
        <v>3380</v>
      </c>
      <c r="H183" s="67">
        <v>3380</v>
      </c>
      <c r="I183" s="66">
        <v>3380</v>
      </c>
      <c r="J183" s="67">
        <v>3380</v>
      </c>
      <c r="K183" s="67">
        <v>3380</v>
      </c>
      <c r="L183" s="67">
        <v>3380</v>
      </c>
      <c r="M183" s="67">
        <v>3380</v>
      </c>
      <c r="N183" s="67"/>
      <c r="O183" s="67"/>
      <c r="P183" s="67"/>
      <c r="Q183" s="67"/>
      <c r="R183" s="67"/>
    </row>
    <row r="184" spans="1:19" x14ac:dyDescent="0.25">
      <c r="A184" s="119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1:19" x14ac:dyDescent="0.25">
      <c r="A185" s="121"/>
      <c r="B185" s="120"/>
      <c r="C185" s="120"/>
      <c r="D185" s="120"/>
      <c r="E185" s="120"/>
      <c r="F185" s="120"/>
      <c r="G185" s="120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</row>
    <row r="186" spans="1:19" x14ac:dyDescent="0.25">
      <c r="A186" s="52" t="s">
        <v>156</v>
      </c>
      <c r="B186" s="70">
        <f>+B187+B194+B195</f>
        <v>110</v>
      </c>
      <c r="C186" s="70">
        <f t="shared" ref="C186:M186" si="39">+C187+C194+C195</f>
        <v>110</v>
      </c>
      <c r="D186" s="70">
        <f t="shared" si="39"/>
        <v>110</v>
      </c>
      <c r="E186" s="70">
        <f t="shared" si="39"/>
        <v>110</v>
      </c>
      <c r="F186" s="70">
        <f t="shared" si="39"/>
        <v>110</v>
      </c>
      <c r="G186" s="70">
        <f t="shared" si="39"/>
        <v>110</v>
      </c>
      <c r="H186" s="70">
        <f t="shared" si="39"/>
        <v>110</v>
      </c>
      <c r="I186" s="70">
        <f t="shared" si="39"/>
        <v>110</v>
      </c>
      <c r="J186" s="70">
        <f t="shared" si="39"/>
        <v>110</v>
      </c>
      <c r="K186" s="70">
        <f t="shared" si="39"/>
        <v>110</v>
      </c>
      <c r="L186" s="70">
        <f t="shared" si="39"/>
        <v>110</v>
      </c>
      <c r="M186" s="70">
        <f t="shared" si="39"/>
        <v>110</v>
      </c>
      <c r="N186" s="70"/>
      <c r="O186" s="70"/>
      <c r="P186" s="70"/>
      <c r="Q186" s="70"/>
      <c r="R186" s="70"/>
    </row>
    <row r="187" spans="1:19" ht="15.75" x14ac:dyDescent="0.25">
      <c r="A187" s="73" t="s">
        <v>157</v>
      </c>
      <c r="B187" s="93">
        <f>SUM(B188:B193)</f>
        <v>88</v>
      </c>
      <c r="C187" s="93">
        <f>SUM(C188:C193)</f>
        <v>88</v>
      </c>
      <c r="D187" s="93">
        <f>SUM(D188:D193)</f>
        <v>88</v>
      </c>
      <c r="E187" s="93">
        <f t="shared" ref="E187:M187" si="40">SUM(E188:E193)</f>
        <v>88</v>
      </c>
      <c r="F187" s="93">
        <f t="shared" si="40"/>
        <v>88</v>
      </c>
      <c r="G187" s="93">
        <f t="shared" si="40"/>
        <v>88</v>
      </c>
      <c r="H187" s="93">
        <f t="shared" si="40"/>
        <v>88</v>
      </c>
      <c r="I187" s="93">
        <f t="shared" si="40"/>
        <v>88</v>
      </c>
      <c r="J187" s="93">
        <f t="shared" si="40"/>
        <v>88</v>
      </c>
      <c r="K187" s="93">
        <f t="shared" si="40"/>
        <v>88</v>
      </c>
      <c r="L187" s="93">
        <f t="shared" si="40"/>
        <v>88</v>
      </c>
      <c r="M187" s="93">
        <f t="shared" si="40"/>
        <v>88</v>
      </c>
      <c r="N187" s="93"/>
      <c r="O187" s="93"/>
      <c r="P187" s="93"/>
      <c r="Q187" s="93"/>
      <c r="R187" s="93"/>
    </row>
    <row r="188" spans="1:19" x14ac:dyDescent="0.25">
      <c r="A188" s="29" t="s">
        <v>158</v>
      </c>
      <c r="B188" s="67">
        <v>9</v>
      </c>
      <c r="C188" s="67">
        <v>9</v>
      </c>
      <c r="D188" s="67">
        <v>9</v>
      </c>
      <c r="E188" s="67">
        <v>9</v>
      </c>
      <c r="F188" s="67">
        <v>9</v>
      </c>
      <c r="G188" s="67">
        <v>9</v>
      </c>
      <c r="H188" s="67">
        <v>9</v>
      </c>
      <c r="I188" s="67">
        <v>9</v>
      </c>
      <c r="J188" s="67">
        <v>9</v>
      </c>
      <c r="K188" s="67">
        <v>9</v>
      </c>
      <c r="L188" s="67">
        <v>9</v>
      </c>
      <c r="M188" s="67">
        <v>9</v>
      </c>
      <c r="N188" s="67"/>
      <c r="O188" s="67"/>
      <c r="P188" s="67"/>
      <c r="Q188" s="67"/>
      <c r="R188" s="67"/>
      <c r="S188" s="48">
        <v>18</v>
      </c>
    </row>
    <row r="189" spans="1:19" x14ac:dyDescent="0.25">
      <c r="A189" s="29" t="s">
        <v>159</v>
      </c>
      <c r="B189" s="67">
        <v>7</v>
      </c>
      <c r="C189" s="67">
        <v>7</v>
      </c>
      <c r="D189" s="67">
        <v>7</v>
      </c>
      <c r="E189" s="67">
        <v>7</v>
      </c>
      <c r="F189" s="67">
        <v>7</v>
      </c>
      <c r="G189" s="67">
        <v>7</v>
      </c>
      <c r="H189" s="67">
        <v>7</v>
      </c>
      <c r="I189" s="67">
        <v>7</v>
      </c>
      <c r="J189" s="67">
        <v>7</v>
      </c>
      <c r="K189" s="67">
        <v>7</v>
      </c>
      <c r="L189" s="67">
        <v>7</v>
      </c>
      <c r="M189" s="66">
        <v>7</v>
      </c>
      <c r="N189" s="67"/>
      <c r="O189" s="67"/>
      <c r="P189" s="67"/>
      <c r="Q189" s="67"/>
      <c r="R189" s="67"/>
      <c r="S189" s="48">
        <v>17</v>
      </c>
    </row>
    <row r="190" spans="1:19" x14ac:dyDescent="0.25">
      <c r="A190" s="29" t="s">
        <v>160</v>
      </c>
      <c r="B190" s="67">
        <v>5</v>
      </c>
      <c r="C190" s="67">
        <v>5</v>
      </c>
      <c r="D190" s="67">
        <v>5</v>
      </c>
      <c r="E190" s="67">
        <v>5</v>
      </c>
      <c r="F190" s="67">
        <v>5</v>
      </c>
      <c r="G190" s="67">
        <v>5</v>
      </c>
      <c r="H190" s="67">
        <v>5</v>
      </c>
      <c r="I190" s="67">
        <v>5</v>
      </c>
      <c r="J190" s="67">
        <v>5</v>
      </c>
      <c r="K190" s="67">
        <v>5</v>
      </c>
      <c r="L190" s="67">
        <v>5</v>
      </c>
      <c r="M190" s="66">
        <v>5</v>
      </c>
      <c r="N190" s="67"/>
      <c r="O190" s="67"/>
      <c r="P190" s="67"/>
      <c r="Q190" s="67"/>
      <c r="R190" s="67"/>
      <c r="S190" s="48">
        <v>18</v>
      </c>
    </row>
    <row r="191" spans="1:19" x14ac:dyDescent="0.25">
      <c r="A191" s="29" t="s">
        <v>159</v>
      </c>
      <c r="B191" s="67">
        <v>16</v>
      </c>
      <c r="C191" s="67">
        <v>16</v>
      </c>
      <c r="D191" s="67">
        <v>16</v>
      </c>
      <c r="E191" s="67">
        <v>16</v>
      </c>
      <c r="F191" s="67">
        <v>16</v>
      </c>
      <c r="G191" s="67">
        <v>16</v>
      </c>
      <c r="H191" s="67">
        <v>16</v>
      </c>
      <c r="I191" s="67">
        <v>16</v>
      </c>
      <c r="J191" s="67">
        <v>16</v>
      </c>
      <c r="K191" s="67">
        <v>16</v>
      </c>
      <c r="L191" s="67">
        <v>16</v>
      </c>
      <c r="M191" s="66">
        <v>16</v>
      </c>
      <c r="N191" s="67"/>
      <c r="O191" s="67"/>
      <c r="P191" s="67"/>
      <c r="Q191" s="67"/>
      <c r="R191" s="67"/>
      <c r="S191" s="48">
        <v>17</v>
      </c>
    </row>
    <row r="192" spans="1:19" x14ac:dyDescent="0.25">
      <c r="A192" s="29" t="s">
        <v>161</v>
      </c>
      <c r="B192" s="67">
        <v>8</v>
      </c>
      <c r="C192" s="67">
        <v>8</v>
      </c>
      <c r="D192" s="67">
        <v>8</v>
      </c>
      <c r="E192" s="67">
        <v>8</v>
      </c>
      <c r="F192" s="67">
        <v>8</v>
      </c>
      <c r="G192" s="67">
        <v>8</v>
      </c>
      <c r="H192" s="67">
        <v>8</v>
      </c>
      <c r="I192" s="67">
        <v>8</v>
      </c>
      <c r="J192" s="67">
        <v>8</v>
      </c>
      <c r="K192" s="67">
        <v>8</v>
      </c>
      <c r="L192" s="67">
        <v>8</v>
      </c>
      <c r="M192" s="66">
        <v>8</v>
      </c>
      <c r="N192" s="67"/>
      <c r="O192" s="67"/>
      <c r="P192" s="67"/>
      <c r="Q192" s="67"/>
      <c r="R192" s="28"/>
      <c r="S192" s="48">
        <v>18</v>
      </c>
    </row>
    <row r="193" spans="1:19" x14ac:dyDescent="0.25">
      <c r="A193" s="29" t="s">
        <v>159</v>
      </c>
      <c r="B193" s="67">
        <v>43</v>
      </c>
      <c r="C193" s="67">
        <v>43</v>
      </c>
      <c r="D193" s="67">
        <v>43</v>
      </c>
      <c r="E193" s="67">
        <v>43</v>
      </c>
      <c r="F193" s="67">
        <v>43</v>
      </c>
      <c r="G193" s="67">
        <v>43</v>
      </c>
      <c r="H193" s="67">
        <v>43</v>
      </c>
      <c r="I193" s="67">
        <v>43</v>
      </c>
      <c r="J193" s="67">
        <v>43</v>
      </c>
      <c r="K193" s="67">
        <v>43</v>
      </c>
      <c r="L193" s="67">
        <v>43</v>
      </c>
      <c r="M193" s="66">
        <v>43</v>
      </c>
      <c r="N193" s="67"/>
      <c r="O193" s="67"/>
      <c r="P193" s="67"/>
      <c r="Q193" s="67"/>
      <c r="R193" s="28"/>
      <c r="S193" s="48">
        <v>17</v>
      </c>
    </row>
    <row r="194" spans="1:19" ht="15.75" x14ac:dyDescent="0.25">
      <c r="A194" s="123" t="s">
        <v>162</v>
      </c>
      <c r="B194" s="67">
        <v>2</v>
      </c>
      <c r="C194" s="67">
        <v>2</v>
      </c>
      <c r="D194" s="67">
        <v>2</v>
      </c>
      <c r="E194" s="67">
        <v>2</v>
      </c>
      <c r="F194" s="67">
        <v>2</v>
      </c>
      <c r="G194" s="67">
        <v>2</v>
      </c>
      <c r="H194" s="67">
        <v>2</v>
      </c>
      <c r="I194" s="67">
        <v>2</v>
      </c>
      <c r="J194" s="67">
        <v>2</v>
      </c>
      <c r="K194" s="67">
        <v>2</v>
      </c>
      <c r="L194" s="67">
        <v>2</v>
      </c>
      <c r="M194" s="66">
        <v>2</v>
      </c>
      <c r="N194" s="67"/>
      <c r="O194" s="67"/>
      <c r="P194" s="67"/>
      <c r="Q194" s="67"/>
      <c r="R194" s="28"/>
      <c r="S194" s="48">
        <v>20</v>
      </c>
    </row>
    <row r="195" spans="1:19" x14ac:dyDescent="0.25">
      <c r="A195" s="32" t="s">
        <v>163</v>
      </c>
      <c r="B195" s="67">
        <v>20</v>
      </c>
      <c r="C195" s="67">
        <v>20</v>
      </c>
      <c r="D195" s="67">
        <v>20</v>
      </c>
      <c r="E195" s="67">
        <v>20</v>
      </c>
      <c r="F195" s="67">
        <v>20</v>
      </c>
      <c r="G195" s="67">
        <v>20</v>
      </c>
      <c r="H195" s="67">
        <v>20</v>
      </c>
      <c r="I195" s="67">
        <v>20</v>
      </c>
      <c r="J195" s="67">
        <v>20</v>
      </c>
      <c r="K195" s="67">
        <v>20</v>
      </c>
      <c r="L195" s="67">
        <v>20</v>
      </c>
      <c r="M195" s="67">
        <v>20</v>
      </c>
      <c r="N195" s="67"/>
      <c r="O195" s="67"/>
      <c r="P195" s="67"/>
      <c r="Q195" s="67"/>
      <c r="R195" s="28"/>
      <c r="S195" s="48">
        <v>19</v>
      </c>
    </row>
    <row r="196" spans="1:19" x14ac:dyDescent="0.25">
      <c r="A196" s="124"/>
      <c r="B196" s="125"/>
      <c r="C196" s="125"/>
      <c r="D196" s="125"/>
      <c r="E196" s="125"/>
      <c r="F196" s="125"/>
      <c r="G196" s="125"/>
      <c r="H196" s="125"/>
      <c r="I196" s="126"/>
      <c r="J196" s="125"/>
      <c r="K196" s="125"/>
      <c r="L196" s="125"/>
      <c r="M196" s="125"/>
      <c r="N196" s="125"/>
      <c r="O196" s="125"/>
      <c r="P196" s="125"/>
      <c r="Q196" s="125"/>
      <c r="R196" s="28"/>
    </row>
    <row r="197" spans="1:19" x14ac:dyDescent="0.25">
      <c r="A197" s="52" t="s">
        <v>164</v>
      </c>
      <c r="B197" s="127"/>
      <c r="C197" s="127"/>
      <c r="D197" s="127"/>
      <c r="E197" s="127"/>
      <c r="F197" s="127"/>
      <c r="G197" s="127"/>
      <c r="H197" s="127"/>
      <c r="I197" s="128"/>
      <c r="J197" s="127"/>
      <c r="K197" s="127"/>
      <c r="L197" s="129"/>
      <c r="M197" s="127"/>
      <c r="N197" s="127"/>
      <c r="O197" s="127"/>
      <c r="P197" s="127"/>
      <c r="Q197" s="127"/>
      <c r="R197" s="28"/>
    </row>
    <row r="198" spans="1:19" x14ac:dyDescent="0.25">
      <c r="A198" s="62" t="s">
        <v>165</v>
      </c>
      <c r="B198" s="67">
        <v>2</v>
      </c>
      <c r="C198" s="67">
        <v>2</v>
      </c>
      <c r="D198" s="67">
        <v>2</v>
      </c>
      <c r="E198" s="67">
        <v>2</v>
      </c>
      <c r="F198" s="67">
        <v>2</v>
      </c>
      <c r="G198" s="67">
        <v>2</v>
      </c>
      <c r="H198" s="130">
        <v>2</v>
      </c>
      <c r="I198" s="130">
        <v>2</v>
      </c>
      <c r="J198" s="130">
        <v>2</v>
      </c>
      <c r="K198" s="131">
        <v>2</v>
      </c>
      <c r="L198" s="131">
        <v>2</v>
      </c>
      <c r="M198" s="132">
        <v>2</v>
      </c>
      <c r="N198" s="67"/>
      <c r="O198" s="67"/>
      <c r="P198" s="67"/>
      <c r="Q198" s="67"/>
      <c r="R198" s="28"/>
    </row>
    <row r="199" spans="1:19" x14ac:dyDescent="0.25">
      <c r="A199" s="62" t="s">
        <v>166</v>
      </c>
      <c r="B199" s="67">
        <v>98</v>
      </c>
      <c r="C199" s="67">
        <v>118</v>
      </c>
      <c r="D199" s="66">
        <v>112</v>
      </c>
      <c r="E199" s="67">
        <v>79</v>
      </c>
      <c r="F199" s="67">
        <v>106</v>
      </c>
      <c r="G199" s="67">
        <v>75</v>
      </c>
      <c r="H199" s="130">
        <v>98</v>
      </c>
      <c r="I199" s="130">
        <v>133</v>
      </c>
      <c r="J199" s="130">
        <v>129</v>
      </c>
      <c r="K199" s="130">
        <v>126</v>
      </c>
      <c r="L199" s="131">
        <v>116</v>
      </c>
      <c r="M199" s="132">
        <v>96</v>
      </c>
      <c r="N199" s="67"/>
      <c r="O199" s="67"/>
      <c r="P199" s="67"/>
      <c r="Q199" s="67"/>
      <c r="R199" s="28"/>
    </row>
    <row r="200" spans="1:19" x14ac:dyDescent="0.25">
      <c r="A200" s="62" t="s">
        <v>167</v>
      </c>
      <c r="B200" s="67">
        <v>98</v>
      </c>
      <c r="C200" s="67">
        <v>118</v>
      </c>
      <c r="D200" s="66">
        <v>112</v>
      </c>
      <c r="E200" s="67">
        <v>79</v>
      </c>
      <c r="F200" s="67">
        <v>106</v>
      </c>
      <c r="G200" s="67">
        <v>75</v>
      </c>
      <c r="H200" s="130">
        <v>98</v>
      </c>
      <c r="I200" s="130">
        <v>133</v>
      </c>
      <c r="J200" s="130">
        <v>129</v>
      </c>
      <c r="K200" s="130">
        <v>126</v>
      </c>
      <c r="L200" s="131">
        <v>116</v>
      </c>
      <c r="M200" s="132">
        <v>96</v>
      </c>
      <c r="N200" s="67"/>
      <c r="O200" s="67"/>
      <c r="P200" s="67"/>
      <c r="Q200" s="67"/>
      <c r="R200" s="28"/>
    </row>
    <row r="201" spans="1:19" x14ac:dyDescent="0.25">
      <c r="A201" s="62" t="s">
        <v>168</v>
      </c>
      <c r="B201" s="67">
        <v>0</v>
      </c>
      <c r="C201" s="67">
        <v>0</v>
      </c>
      <c r="D201" s="67">
        <v>0</v>
      </c>
      <c r="E201" s="67">
        <v>0</v>
      </c>
      <c r="F201" s="67">
        <v>0</v>
      </c>
      <c r="G201" s="67">
        <v>0</v>
      </c>
      <c r="H201" s="130">
        <v>0</v>
      </c>
      <c r="I201" s="130">
        <v>0</v>
      </c>
      <c r="J201" s="130">
        <v>0</v>
      </c>
      <c r="K201" s="131">
        <v>0</v>
      </c>
      <c r="L201" s="130">
        <v>0</v>
      </c>
      <c r="M201" s="132">
        <v>0</v>
      </c>
      <c r="N201" s="67"/>
      <c r="O201" s="67"/>
      <c r="P201" s="67"/>
      <c r="Q201" s="67"/>
      <c r="R201" s="28"/>
    </row>
    <row r="202" spans="1:19" x14ac:dyDescent="0.25">
      <c r="A202" s="62" t="s">
        <v>169</v>
      </c>
      <c r="B202" s="67">
        <v>0</v>
      </c>
      <c r="C202" s="67">
        <v>0</v>
      </c>
      <c r="D202" s="67">
        <v>0</v>
      </c>
      <c r="E202" s="67">
        <v>0</v>
      </c>
      <c r="F202" s="67">
        <v>0</v>
      </c>
      <c r="G202" s="67">
        <v>0</v>
      </c>
      <c r="H202" s="130">
        <v>0</v>
      </c>
      <c r="I202" s="130">
        <v>0</v>
      </c>
      <c r="J202" s="130">
        <v>0</v>
      </c>
      <c r="K202" s="131">
        <v>0</v>
      </c>
      <c r="L202" s="131">
        <v>0</v>
      </c>
      <c r="M202" s="132">
        <v>0</v>
      </c>
      <c r="N202" s="67"/>
      <c r="O202" s="67"/>
      <c r="P202" s="67"/>
      <c r="Q202" s="67"/>
      <c r="R202" s="28"/>
    </row>
    <row r="203" spans="1:19" x14ac:dyDescent="0.25">
      <c r="A203" s="62" t="s">
        <v>170</v>
      </c>
      <c r="B203" s="67">
        <v>0</v>
      </c>
      <c r="C203" s="67">
        <v>0</v>
      </c>
      <c r="D203" s="67">
        <v>0</v>
      </c>
      <c r="E203" s="67">
        <v>0</v>
      </c>
      <c r="F203" s="67">
        <v>0</v>
      </c>
      <c r="G203" s="67">
        <v>0</v>
      </c>
      <c r="H203" s="130">
        <v>0</v>
      </c>
      <c r="I203" s="130">
        <v>0</v>
      </c>
      <c r="J203" s="130">
        <v>0</v>
      </c>
      <c r="K203" s="131">
        <v>0</v>
      </c>
      <c r="L203" s="131">
        <v>0</v>
      </c>
      <c r="M203" s="132">
        <v>0</v>
      </c>
      <c r="N203" s="67"/>
      <c r="O203" s="67"/>
      <c r="P203" s="67"/>
      <c r="Q203" s="67"/>
      <c r="R203" s="28"/>
    </row>
    <row r="204" spans="1:19" x14ac:dyDescent="0.25">
      <c r="A204" s="62" t="s">
        <v>171</v>
      </c>
      <c r="B204" s="67">
        <f>B112</f>
        <v>24209</v>
      </c>
      <c r="C204" s="67">
        <f t="shared" ref="C204:M204" si="41">C112</f>
        <v>24289</v>
      </c>
      <c r="D204" s="67">
        <f t="shared" si="41"/>
        <v>24345</v>
      </c>
      <c r="E204" s="67">
        <f t="shared" si="41"/>
        <v>24441</v>
      </c>
      <c r="F204" s="67">
        <f t="shared" si="41"/>
        <v>24498</v>
      </c>
      <c r="G204" s="67">
        <f t="shared" si="41"/>
        <v>24541</v>
      </c>
      <c r="H204" s="67">
        <f t="shared" si="41"/>
        <v>24575</v>
      </c>
      <c r="I204" s="67">
        <f t="shared" si="41"/>
        <v>24629</v>
      </c>
      <c r="J204" s="67">
        <f t="shared" si="41"/>
        <v>24660</v>
      </c>
      <c r="K204" s="67">
        <f t="shared" si="41"/>
        <v>24697</v>
      </c>
      <c r="L204" s="67">
        <f t="shared" si="41"/>
        <v>24725</v>
      </c>
      <c r="M204" s="67">
        <f t="shared" si="41"/>
        <v>24741</v>
      </c>
      <c r="N204" s="67"/>
      <c r="O204" s="67"/>
      <c r="P204" s="67"/>
      <c r="Q204" s="67"/>
      <c r="R204" s="28"/>
      <c r="S204" s="48">
        <v>13</v>
      </c>
    </row>
    <row r="205" spans="1:19" x14ac:dyDescent="0.25">
      <c r="A205" s="133" t="s">
        <v>172</v>
      </c>
      <c r="B205" s="134">
        <v>0</v>
      </c>
      <c r="C205" s="134">
        <v>0</v>
      </c>
      <c r="D205" s="134">
        <v>0</v>
      </c>
      <c r="E205" s="134">
        <v>0</v>
      </c>
      <c r="F205" s="134">
        <v>0</v>
      </c>
      <c r="G205" s="134">
        <v>0</v>
      </c>
      <c r="H205" s="135"/>
      <c r="I205" s="135"/>
      <c r="J205" s="135"/>
      <c r="K205" s="135"/>
      <c r="L205" s="135"/>
      <c r="M205" s="136"/>
      <c r="N205" s="134"/>
      <c r="O205" s="134"/>
      <c r="P205" s="134"/>
      <c r="Q205" s="134"/>
      <c r="R205" s="28"/>
    </row>
    <row r="215" spans="4:6" x14ac:dyDescent="0.25">
      <c r="D215" s="137"/>
      <c r="E215" s="137"/>
      <c r="F215" s="137"/>
    </row>
  </sheetData>
  <mergeCells count="5">
    <mergeCell ref="A1:R1"/>
    <mergeCell ref="A3:R3"/>
    <mergeCell ref="A4:R4"/>
    <mergeCell ref="A6:R6"/>
    <mergeCell ref="A7:R7"/>
  </mergeCells>
  <printOptions horizontalCentered="1"/>
  <pageMargins left="0.31496062992125984" right="0.31496062992125984" top="0.15748031496062992" bottom="0.15748031496062992" header="0.31496062992125984" footer="0.15748031496062992"/>
  <pageSetup scale="32" fitToHeight="2" orientation="landscape" r:id="rId1"/>
  <rowBreaks count="1" manualBreakCount="1">
    <brk id="103" max="17" man="1"/>
  </rowBreaks>
  <colBreaks count="1" manualBreakCount="1">
    <brk id="1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228"/>
  <sheetViews>
    <sheetView tabSelected="1" zoomScaleNormal="100" workbookViewId="0">
      <selection activeCell="C165" sqref="C165"/>
    </sheetView>
  </sheetViews>
  <sheetFormatPr baseColWidth="10" defaultColWidth="11.42578125" defaultRowHeight="15" x14ac:dyDescent="0.25"/>
  <cols>
    <col min="1" max="1" width="7.85546875" style="143" customWidth="1"/>
    <col min="2" max="2" width="21.42578125" style="144" customWidth="1"/>
    <col min="3" max="3" width="38.140625" style="143" customWidth="1"/>
    <col min="4" max="9" width="14" style="142" customWidth="1"/>
    <col min="10" max="10" width="13.85546875" style="142" customWidth="1"/>
    <col min="11" max="11" width="13.140625" style="142" customWidth="1"/>
    <col min="12" max="12" width="14.28515625" style="142" customWidth="1"/>
    <col min="13" max="13" width="14.42578125" style="142" customWidth="1"/>
    <col min="14" max="14" width="13" style="142" customWidth="1"/>
    <col min="15" max="15" width="13.5703125" style="142" customWidth="1"/>
    <col min="16" max="16" width="3.5703125" style="141" customWidth="1"/>
    <col min="17" max="16384" width="11.42578125" style="142"/>
  </cols>
  <sheetData>
    <row r="1" spans="1:16" x14ac:dyDescent="0.25">
      <c r="A1" s="140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6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6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6" x14ac:dyDescent="0.2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6" ht="15.75" thickBot="1" x14ac:dyDescent="0.3"/>
    <row r="6" spans="1:16" s="151" customFormat="1" ht="15.75" thickBot="1" x14ac:dyDescent="0.3">
      <c r="A6" s="145" t="s">
        <v>174</v>
      </c>
      <c r="B6" s="146" t="s">
        <v>175</v>
      </c>
      <c r="C6" s="147"/>
      <c r="D6" s="148" t="s">
        <v>176</v>
      </c>
      <c r="E6" s="149" t="s">
        <v>177</v>
      </c>
      <c r="F6" s="149" t="s">
        <v>178</v>
      </c>
      <c r="G6" s="149" t="s">
        <v>179</v>
      </c>
      <c r="H6" s="149" t="s">
        <v>180</v>
      </c>
      <c r="I6" s="149" t="s">
        <v>181</v>
      </c>
      <c r="J6" s="149" t="s">
        <v>182</v>
      </c>
      <c r="K6" s="149" t="s">
        <v>183</v>
      </c>
      <c r="L6" s="149" t="s">
        <v>184</v>
      </c>
      <c r="M6" s="149" t="s">
        <v>185</v>
      </c>
      <c r="N6" s="149" t="s">
        <v>186</v>
      </c>
      <c r="O6" s="149" t="s">
        <v>187</v>
      </c>
      <c r="P6" s="150"/>
    </row>
    <row r="7" spans="1:16" x14ac:dyDescent="0.25">
      <c r="A7" s="152" t="s">
        <v>188</v>
      </c>
      <c r="B7" s="153" t="s">
        <v>189</v>
      </c>
      <c r="C7" s="154" t="s">
        <v>190</v>
      </c>
      <c r="D7" s="155">
        <f>+PIGOO!B66</f>
        <v>399065</v>
      </c>
      <c r="E7" s="155">
        <f>+PIGOO!C66</f>
        <v>319638</v>
      </c>
      <c r="F7" s="156">
        <f>+PIGOO!D66</f>
        <v>414988</v>
      </c>
      <c r="G7" s="155">
        <f>+PIGOO!E66</f>
        <v>356375</v>
      </c>
      <c r="H7" s="155">
        <f>+PIGOO!F66</f>
        <v>456059</v>
      </c>
      <c r="I7" s="155">
        <f>+PIGOO!G66</f>
        <v>471151</v>
      </c>
      <c r="J7" s="155">
        <f>+PIGOO!H66</f>
        <v>375743</v>
      </c>
      <c r="K7" s="155">
        <f>+PIGOO!I66</f>
        <v>423392</v>
      </c>
      <c r="L7" s="156">
        <f>+PIGOO!J66</f>
        <v>405937</v>
      </c>
      <c r="M7" s="155">
        <f>+PIGOO!K66</f>
        <v>387937</v>
      </c>
      <c r="N7" s="155">
        <f>+PIGOO!L66</f>
        <v>415958</v>
      </c>
      <c r="O7" s="155">
        <f>+PIGOO!M66</f>
        <v>406495</v>
      </c>
      <c r="P7" s="157">
        <v>1</v>
      </c>
    </row>
    <row r="8" spans="1:16" ht="15.75" thickBot="1" x14ac:dyDescent="0.3">
      <c r="A8" s="158"/>
      <c r="B8" s="159"/>
      <c r="C8" s="160" t="s">
        <v>191</v>
      </c>
      <c r="D8" s="161">
        <v>326820</v>
      </c>
      <c r="E8" s="162">
        <v>332855</v>
      </c>
      <c r="F8" s="162">
        <v>417670</v>
      </c>
      <c r="G8" s="163">
        <v>399928</v>
      </c>
      <c r="H8" s="163">
        <v>475958</v>
      </c>
      <c r="I8" s="164">
        <v>448122</v>
      </c>
      <c r="J8" s="164">
        <v>460394</v>
      </c>
      <c r="K8" s="165">
        <v>506435</v>
      </c>
      <c r="L8" s="162">
        <v>446865</v>
      </c>
      <c r="M8" s="162">
        <v>423831</v>
      </c>
      <c r="N8" s="162">
        <v>405525</v>
      </c>
      <c r="O8" s="162">
        <v>378771</v>
      </c>
    </row>
    <row r="9" spans="1:16" x14ac:dyDescent="0.25">
      <c r="B9" s="159"/>
      <c r="C9" s="166" t="s">
        <v>192</v>
      </c>
      <c r="D9" s="167">
        <f t="shared" ref="D9:O9" si="0">(D7/D8)-1</f>
        <v>0.22105440303530988</v>
      </c>
      <c r="E9" s="167">
        <f t="shared" si="0"/>
        <v>-3.9707980952667032E-2</v>
      </c>
      <c r="F9" s="167">
        <f t="shared" si="0"/>
        <v>-6.421337419493911E-3</v>
      </c>
      <c r="G9" s="167">
        <f t="shared" si="0"/>
        <v>-0.10890210237842812</v>
      </c>
      <c r="H9" s="167">
        <f t="shared" si="0"/>
        <v>-4.1808310817341043E-2</v>
      </c>
      <c r="I9" s="167">
        <f t="shared" si="0"/>
        <v>5.139002325259634E-2</v>
      </c>
      <c r="J9" s="167">
        <f t="shared" si="0"/>
        <v>-0.18386642745127002</v>
      </c>
      <c r="K9" s="168">
        <f t="shared" si="0"/>
        <v>-0.16397563359562428</v>
      </c>
      <c r="L9" s="167">
        <f t="shared" si="0"/>
        <v>-9.1589182415270809E-2</v>
      </c>
      <c r="M9" s="167">
        <f t="shared" si="0"/>
        <v>-8.4689416300364972E-2</v>
      </c>
      <c r="N9" s="167">
        <f t="shared" si="0"/>
        <v>2.5727143825904797E-2</v>
      </c>
      <c r="O9" s="167">
        <f t="shared" si="0"/>
        <v>7.319462155233647E-2</v>
      </c>
    </row>
    <row r="10" spans="1:16" x14ac:dyDescent="0.25">
      <c r="B10" s="159"/>
      <c r="C10" s="169" t="s">
        <v>193</v>
      </c>
      <c r="D10" s="170">
        <f t="shared" ref="D10:O10" si="1">(D11/D12)-1</f>
        <v>0.22105440303530988</v>
      </c>
      <c r="E10" s="170">
        <f t="shared" si="1"/>
        <v>8.94804259673323E-2</v>
      </c>
      <c r="F10" s="170">
        <f t="shared" si="1"/>
        <v>5.2300795009954992E-2</v>
      </c>
      <c r="G10" s="170">
        <f t="shared" si="1"/>
        <v>8.659875324330768E-3</v>
      </c>
      <c r="H10" s="170">
        <f t="shared" si="1"/>
        <v>-3.6380745544177806E-3</v>
      </c>
      <c r="I10" s="170">
        <f t="shared" si="1"/>
        <v>6.6308451943550839E-3</v>
      </c>
      <c r="J10" s="170">
        <f t="shared" si="1"/>
        <v>-2.4016099256852552E-2</v>
      </c>
      <c r="K10" s="171">
        <f t="shared" si="1"/>
        <v>-4.5060213492026269E-2</v>
      </c>
      <c r="L10" s="170">
        <f t="shared" si="1"/>
        <v>-5.0510255836953011E-2</v>
      </c>
      <c r="M10" s="170">
        <f t="shared" si="1"/>
        <v>-5.3927713890326689E-2</v>
      </c>
      <c r="N10" s="170">
        <f t="shared" si="1"/>
        <v>-4.6972667961845738E-2</v>
      </c>
      <c r="O10" s="170">
        <f t="shared" si="1"/>
        <v>-3.7911487836176927E-2</v>
      </c>
    </row>
    <row r="11" spans="1:16" x14ac:dyDescent="0.25">
      <c r="B11" s="159"/>
      <c r="C11" s="166" t="s">
        <v>194</v>
      </c>
      <c r="D11" s="172">
        <f>+D7</f>
        <v>399065</v>
      </c>
      <c r="E11" s="172">
        <f>D11+E7</f>
        <v>718703</v>
      </c>
      <c r="F11" s="172">
        <f>E11+F7</f>
        <v>1133691</v>
      </c>
      <c r="G11" s="172">
        <f t="shared" ref="G11:O12" si="2">F11+G7</f>
        <v>1490066</v>
      </c>
      <c r="H11" s="172">
        <f t="shared" si="2"/>
        <v>1946125</v>
      </c>
      <c r="I11" s="172">
        <f t="shared" si="2"/>
        <v>2417276</v>
      </c>
      <c r="J11" s="172">
        <f t="shared" si="2"/>
        <v>2793019</v>
      </c>
      <c r="K11" s="172">
        <f t="shared" si="2"/>
        <v>3216411</v>
      </c>
      <c r="L11" s="172">
        <f t="shared" si="2"/>
        <v>3622348</v>
      </c>
      <c r="M11" s="172">
        <f t="shared" si="2"/>
        <v>4010285</v>
      </c>
      <c r="N11" s="172">
        <f t="shared" si="2"/>
        <v>4426243</v>
      </c>
      <c r="O11" s="172">
        <f t="shared" si="2"/>
        <v>4832738</v>
      </c>
    </row>
    <row r="12" spans="1:16" ht="15.75" thickBot="1" x14ac:dyDescent="0.3">
      <c r="B12" s="173"/>
      <c r="C12" s="174" t="s">
        <v>195</v>
      </c>
      <c r="D12" s="162">
        <f>+D8</f>
        <v>326820</v>
      </c>
      <c r="E12" s="162">
        <f>D12+E8</f>
        <v>659675</v>
      </c>
      <c r="F12" s="162">
        <f>E12+F8</f>
        <v>1077345</v>
      </c>
      <c r="G12" s="162">
        <f>F12+G8</f>
        <v>1477273</v>
      </c>
      <c r="H12" s="162">
        <f>G12+H8</f>
        <v>1953231</v>
      </c>
      <c r="I12" s="162">
        <f>H12+I8</f>
        <v>2401353</v>
      </c>
      <c r="J12" s="162">
        <f t="shared" si="2"/>
        <v>2861747</v>
      </c>
      <c r="K12" s="162">
        <f t="shared" si="2"/>
        <v>3368182</v>
      </c>
      <c r="L12" s="162">
        <f t="shared" si="2"/>
        <v>3815047</v>
      </c>
      <c r="M12" s="162">
        <f t="shared" si="2"/>
        <v>4238878</v>
      </c>
      <c r="N12" s="162">
        <f t="shared" si="2"/>
        <v>4644403</v>
      </c>
      <c r="O12" s="162">
        <f t="shared" si="2"/>
        <v>5023174</v>
      </c>
    </row>
    <row r="13" spans="1:16" x14ac:dyDescent="0.25">
      <c r="A13" s="152" t="s">
        <v>188</v>
      </c>
      <c r="B13" s="175" t="s">
        <v>196</v>
      </c>
      <c r="C13" s="176" t="s">
        <v>190</v>
      </c>
      <c r="D13" s="177">
        <f>+PIGOO!B72</f>
        <v>299600</v>
      </c>
      <c r="E13" s="177">
        <f>+PIGOO!C72</f>
        <v>255206</v>
      </c>
      <c r="F13" s="177">
        <f>+PIGOO!D72</f>
        <v>229748</v>
      </c>
      <c r="G13" s="177">
        <f>+PIGOO!E72</f>
        <v>311152</v>
      </c>
      <c r="H13" s="177">
        <f>+PIGOO!F72</f>
        <v>306710</v>
      </c>
      <c r="I13" s="177">
        <f>+PIGOO!G72</f>
        <v>334714</v>
      </c>
      <c r="J13" s="177">
        <f>+PIGOO!H72</f>
        <v>313971</v>
      </c>
      <c r="K13" s="177">
        <f>+PIGOO!I72</f>
        <v>300107</v>
      </c>
      <c r="L13" s="177">
        <f>+PIGOO!J72</f>
        <v>296359</v>
      </c>
      <c r="M13" s="177">
        <f>+PIGOO!K72</f>
        <v>299603</v>
      </c>
      <c r="N13" s="177">
        <f>+PIGOO!L72</f>
        <v>290742</v>
      </c>
      <c r="O13" s="177">
        <f>+PIGOO!M72</f>
        <v>260378</v>
      </c>
      <c r="P13" s="157">
        <v>2</v>
      </c>
    </row>
    <row r="14" spans="1:16" ht="15.75" thickBot="1" x14ac:dyDescent="0.3">
      <c r="A14" s="158"/>
      <c r="B14" s="178"/>
      <c r="C14" s="179" t="s">
        <v>191</v>
      </c>
      <c r="D14" s="180">
        <v>249012</v>
      </c>
      <c r="E14" s="181">
        <v>248618</v>
      </c>
      <c r="F14" s="181">
        <v>249803</v>
      </c>
      <c r="G14" s="181">
        <v>280073</v>
      </c>
      <c r="H14" s="182">
        <v>357470</v>
      </c>
      <c r="I14" s="181">
        <v>282556</v>
      </c>
      <c r="J14" s="181">
        <v>331950</v>
      </c>
      <c r="K14" s="183">
        <v>342587</v>
      </c>
      <c r="L14" s="181">
        <v>368931</v>
      </c>
      <c r="M14" s="181">
        <v>333644</v>
      </c>
      <c r="N14" s="181">
        <v>292422</v>
      </c>
      <c r="O14" s="181">
        <v>248230</v>
      </c>
    </row>
    <row r="15" spans="1:16" x14ac:dyDescent="0.25">
      <c r="B15" s="178"/>
      <c r="C15" s="166" t="s">
        <v>192</v>
      </c>
      <c r="D15" s="167">
        <f>(D13/D14)-1</f>
        <v>0.20315486803848803</v>
      </c>
      <c r="E15" s="167">
        <f t="shared" ref="E15:J15" si="3">(E13/E14)-1</f>
        <v>2.6498483617437119E-2</v>
      </c>
      <c r="F15" s="167">
        <f t="shared" si="3"/>
        <v>-8.0283263211410549E-2</v>
      </c>
      <c r="G15" s="167">
        <f t="shared" si="3"/>
        <v>0.11096749775951276</v>
      </c>
      <c r="H15" s="167">
        <f t="shared" si="3"/>
        <v>-0.14199792989621507</v>
      </c>
      <c r="I15" s="167">
        <f t="shared" si="3"/>
        <v>0.18459349651042634</v>
      </c>
      <c r="J15" s="167">
        <f t="shared" si="3"/>
        <v>-5.4161771351107113E-2</v>
      </c>
      <c r="K15" s="168">
        <f>(K13/K14)-1</f>
        <v>-0.12399769985434361</v>
      </c>
      <c r="L15" s="167">
        <f>(L13/L14)-1</f>
        <v>-0.19670886968023826</v>
      </c>
      <c r="M15" s="167">
        <f>(M13/M14)-1</f>
        <v>-0.10202790998789124</v>
      </c>
      <c r="N15" s="167">
        <f>(N13/N14)-1</f>
        <v>-5.7451217760633444E-3</v>
      </c>
      <c r="O15" s="167">
        <f>(O13/O14)-1</f>
        <v>4.8938484470048005E-2</v>
      </c>
    </row>
    <row r="16" spans="1:16" x14ac:dyDescent="0.25">
      <c r="B16" s="178"/>
      <c r="C16" s="184" t="s">
        <v>193</v>
      </c>
      <c r="D16" s="185">
        <f>(D17/D18)-1</f>
        <v>0.20315486803848803</v>
      </c>
      <c r="E16" s="185">
        <f t="shared" ref="E16:J16" si="4">(E17/E18)-1</f>
        <v>0.11489660993107331</v>
      </c>
      <c r="F16" s="185">
        <f t="shared" si="4"/>
        <v>4.9664652216319105E-2</v>
      </c>
      <c r="G16" s="185">
        <f t="shared" si="4"/>
        <v>6.6374308276545335E-2</v>
      </c>
      <c r="H16" s="185">
        <f t="shared" si="4"/>
        <v>1.2592275967236999E-2</v>
      </c>
      <c r="I16" s="185">
        <f t="shared" si="4"/>
        <v>4.173713008206148E-2</v>
      </c>
      <c r="J16" s="185">
        <f t="shared" si="4"/>
        <v>2.5816186392275675E-2</v>
      </c>
      <c r="K16" s="186">
        <f>(K17/K18)-1</f>
        <v>3.90210536068758E-3</v>
      </c>
      <c r="L16" s="185">
        <f>(L17/L18)-1</f>
        <v>-2.3398376982663227E-2</v>
      </c>
      <c r="M16" s="185">
        <f>(M17/M18)-1</f>
        <v>-3.2014908803787878E-2</v>
      </c>
      <c r="N16" s="185">
        <f>(N17/N18)-1</f>
        <v>-2.9712927463826033E-2</v>
      </c>
      <c r="O16" s="185">
        <f>(O17/O18)-1</f>
        <v>-2.4267452394446609E-2</v>
      </c>
    </row>
    <row r="17" spans="1:16" x14ac:dyDescent="0.25">
      <c r="B17" s="178"/>
      <c r="C17" s="166" t="s">
        <v>194</v>
      </c>
      <c r="D17" s="172">
        <f>D13</f>
        <v>299600</v>
      </c>
      <c r="E17" s="172">
        <f t="shared" ref="E17:O18" si="5">D17+E13</f>
        <v>554806</v>
      </c>
      <c r="F17" s="172">
        <f t="shared" si="5"/>
        <v>784554</v>
      </c>
      <c r="G17" s="172">
        <f t="shared" si="5"/>
        <v>1095706</v>
      </c>
      <c r="H17" s="172">
        <f t="shared" si="5"/>
        <v>1402416</v>
      </c>
      <c r="I17" s="172">
        <f t="shared" si="5"/>
        <v>1737130</v>
      </c>
      <c r="J17" s="172">
        <f t="shared" si="5"/>
        <v>2051101</v>
      </c>
      <c r="K17" s="172">
        <f t="shared" si="5"/>
        <v>2351208</v>
      </c>
      <c r="L17" s="172">
        <f t="shared" si="5"/>
        <v>2647567</v>
      </c>
      <c r="M17" s="172">
        <f t="shared" si="5"/>
        <v>2947170</v>
      </c>
      <c r="N17" s="172">
        <f t="shared" si="5"/>
        <v>3237912</v>
      </c>
      <c r="O17" s="172">
        <f t="shared" si="5"/>
        <v>3498290</v>
      </c>
    </row>
    <row r="18" spans="1:16" ht="15.75" thickBot="1" x14ac:dyDescent="0.3">
      <c r="B18" s="187"/>
      <c r="C18" s="188" t="s">
        <v>195</v>
      </c>
      <c r="D18" s="181">
        <f>D14</f>
        <v>249012</v>
      </c>
      <c r="E18" s="181">
        <f t="shared" si="5"/>
        <v>497630</v>
      </c>
      <c r="F18" s="181">
        <f t="shared" si="5"/>
        <v>747433</v>
      </c>
      <c r="G18" s="181">
        <f t="shared" si="5"/>
        <v>1027506</v>
      </c>
      <c r="H18" s="181">
        <f t="shared" si="5"/>
        <v>1384976</v>
      </c>
      <c r="I18" s="181">
        <f t="shared" si="5"/>
        <v>1667532</v>
      </c>
      <c r="J18" s="181">
        <f t="shared" si="5"/>
        <v>1999482</v>
      </c>
      <c r="K18" s="181">
        <f t="shared" si="5"/>
        <v>2342069</v>
      </c>
      <c r="L18" s="181">
        <f t="shared" si="5"/>
        <v>2711000</v>
      </c>
      <c r="M18" s="181">
        <f t="shared" si="5"/>
        <v>3044644</v>
      </c>
      <c r="N18" s="181">
        <f t="shared" si="5"/>
        <v>3337066</v>
      </c>
      <c r="O18" s="181">
        <f t="shared" si="5"/>
        <v>3585296</v>
      </c>
    </row>
    <row r="19" spans="1:16" ht="15" customHeight="1" x14ac:dyDescent="0.25">
      <c r="A19" s="152" t="s">
        <v>188</v>
      </c>
      <c r="B19" s="175" t="s">
        <v>197</v>
      </c>
      <c r="C19" s="176" t="s">
        <v>190</v>
      </c>
      <c r="D19" s="177">
        <f>+PIGOO!B76+PIGOO!B77</f>
        <v>5895</v>
      </c>
      <c r="E19" s="177">
        <f>+PIGOO!C76+PIGOO!C77</f>
        <v>3425</v>
      </c>
      <c r="F19" s="177">
        <f>+PIGOO!D76+PIGOO!D77</f>
        <v>3215</v>
      </c>
      <c r="G19" s="177">
        <f>+PIGOO!E76+PIGOO!E77</f>
        <v>6143</v>
      </c>
      <c r="H19" s="177">
        <f>+PIGOO!F76+PIGOO!F77</f>
        <v>6501</v>
      </c>
      <c r="I19" s="177">
        <f>+PIGOO!G76+PIGOO!G77</f>
        <v>6359</v>
      </c>
      <c r="J19" s="177">
        <f>+PIGOO!H76+PIGOO!H77</f>
        <v>5788</v>
      </c>
      <c r="K19" s="177">
        <f>+PIGOO!I76+PIGOO!I77</f>
        <v>3814</v>
      </c>
      <c r="L19" s="177">
        <f>+PIGOO!J76+PIGOO!J77</f>
        <v>6256</v>
      </c>
      <c r="M19" s="177">
        <f>+PIGOO!K76+PIGOO!K77</f>
        <v>5826</v>
      </c>
      <c r="N19" s="177">
        <f>+PIGOO!L76+PIGOO!L77</f>
        <v>6598</v>
      </c>
      <c r="O19" s="177">
        <f>+PIGOO!M76+PIGOO!M77</f>
        <v>4873</v>
      </c>
      <c r="P19" s="157">
        <v>22</v>
      </c>
    </row>
    <row r="20" spans="1:16" ht="15.75" thickBot="1" x14ac:dyDescent="0.3">
      <c r="A20" s="158"/>
      <c r="B20" s="178"/>
      <c r="C20" s="179" t="s">
        <v>191</v>
      </c>
      <c r="D20" s="180">
        <v>3456</v>
      </c>
      <c r="E20" s="181">
        <v>4959</v>
      </c>
      <c r="F20" s="181">
        <v>8136</v>
      </c>
      <c r="G20" s="181">
        <v>6467</v>
      </c>
      <c r="H20" s="182">
        <v>6543</v>
      </c>
      <c r="I20" s="181">
        <v>5501</v>
      </c>
      <c r="J20" s="181">
        <v>6261</v>
      </c>
      <c r="K20" s="183">
        <v>8463</v>
      </c>
      <c r="L20" s="181">
        <v>8918</v>
      </c>
      <c r="M20" s="181">
        <v>9370</v>
      </c>
      <c r="N20" s="181">
        <v>4852</v>
      </c>
      <c r="O20" s="181">
        <v>3000</v>
      </c>
    </row>
    <row r="21" spans="1:16" x14ac:dyDescent="0.25">
      <c r="B21" s="178"/>
      <c r="C21" s="166" t="s">
        <v>192</v>
      </c>
      <c r="D21" s="167">
        <f>(D19/D20)-1</f>
        <v>0.70572916666666674</v>
      </c>
      <c r="E21" s="167">
        <f t="shared" ref="E21:J21" si="6">(E19/E20)-1</f>
        <v>-0.3093365597902803</v>
      </c>
      <c r="F21" s="167">
        <f t="shared" si="6"/>
        <v>-0.60484267453294005</v>
      </c>
      <c r="G21" s="167">
        <f t="shared" si="6"/>
        <v>-5.010051028297513E-2</v>
      </c>
      <c r="H21" s="167">
        <f t="shared" si="6"/>
        <v>-6.4190738193489194E-3</v>
      </c>
      <c r="I21" s="167">
        <f t="shared" si="6"/>
        <v>0.15597164151972365</v>
      </c>
      <c r="J21" s="167">
        <f t="shared" si="6"/>
        <v>-7.554703721450251E-2</v>
      </c>
      <c r="K21" s="168">
        <f>(K19/K20)-1</f>
        <v>-0.54933238804206552</v>
      </c>
      <c r="L21" s="167">
        <f>(L19/L20)-1</f>
        <v>-0.29849742094640053</v>
      </c>
      <c r="M21" s="167">
        <f>(M19/M20)-1</f>
        <v>-0.37822838847385276</v>
      </c>
      <c r="N21" s="167">
        <f>(N19/N20)-1</f>
        <v>0.3598516075845013</v>
      </c>
      <c r="O21" s="167">
        <f>(O19/O20)-1</f>
        <v>0.62433333333333341</v>
      </c>
    </row>
    <row r="22" spans="1:16" x14ac:dyDescent="0.25">
      <c r="B22" s="178"/>
      <c r="C22" s="184" t="s">
        <v>193</v>
      </c>
      <c r="D22" s="185">
        <f>(D23/D24)-1</f>
        <v>0.70572916666666674</v>
      </c>
      <c r="E22" s="185">
        <f t="shared" ref="E22:J22" si="7">(E23/E24)-1</f>
        <v>0.10754604872251927</v>
      </c>
      <c r="F22" s="185">
        <f t="shared" si="7"/>
        <v>-0.24264394900610231</v>
      </c>
      <c r="G22" s="185">
        <f t="shared" si="7"/>
        <v>-0.18854809279694151</v>
      </c>
      <c r="H22" s="185">
        <f t="shared" si="7"/>
        <v>-0.14823585129055172</v>
      </c>
      <c r="I22" s="185">
        <f t="shared" si="7"/>
        <v>-0.10050767212366662</v>
      </c>
      <c r="J22" s="185">
        <f t="shared" si="7"/>
        <v>-9.6725794351813721E-2</v>
      </c>
      <c r="K22" s="186">
        <f>(K23/K24)-1</f>
        <v>-0.17366327883340693</v>
      </c>
      <c r="L22" s="185">
        <f>(L23/L24)-1</f>
        <v>-0.19262741891523572</v>
      </c>
      <c r="M22" s="185">
        <f>(M23/M24)-1</f>
        <v>-0.21817433968916178</v>
      </c>
      <c r="N22" s="185">
        <f>(N23/N24)-1</f>
        <v>-0.17971642486904538</v>
      </c>
      <c r="O22" s="185">
        <f>(O23/O24)-1</f>
        <v>-0.14794668493006347</v>
      </c>
    </row>
    <row r="23" spans="1:16" x14ac:dyDescent="0.25">
      <c r="B23" s="178"/>
      <c r="C23" s="166" t="s">
        <v>194</v>
      </c>
      <c r="D23" s="172">
        <f>D19</f>
        <v>5895</v>
      </c>
      <c r="E23" s="172">
        <f t="shared" ref="E23:O24" si="8">D23+E19</f>
        <v>9320</v>
      </c>
      <c r="F23" s="172">
        <f t="shared" si="8"/>
        <v>12535</v>
      </c>
      <c r="G23" s="172">
        <f t="shared" si="8"/>
        <v>18678</v>
      </c>
      <c r="H23" s="172">
        <f t="shared" si="8"/>
        <v>25179</v>
      </c>
      <c r="I23" s="172">
        <f t="shared" si="8"/>
        <v>31538</v>
      </c>
      <c r="J23" s="172">
        <f t="shared" si="8"/>
        <v>37326</v>
      </c>
      <c r="K23" s="172">
        <f t="shared" si="8"/>
        <v>41140</v>
      </c>
      <c r="L23" s="172">
        <f t="shared" si="8"/>
        <v>47396</v>
      </c>
      <c r="M23" s="172">
        <f t="shared" si="8"/>
        <v>53222</v>
      </c>
      <c r="N23" s="172">
        <f t="shared" si="8"/>
        <v>59820</v>
      </c>
      <c r="O23" s="172">
        <f t="shared" si="8"/>
        <v>64693</v>
      </c>
    </row>
    <row r="24" spans="1:16" ht="15.75" thickBot="1" x14ac:dyDescent="0.3">
      <c r="B24" s="187"/>
      <c r="C24" s="188" t="s">
        <v>195</v>
      </c>
      <c r="D24" s="181">
        <f>D20</f>
        <v>3456</v>
      </c>
      <c r="E24" s="181">
        <f t="shared" si="8"/>
        <v>8415</v>
      </c>
      <c r="F24" s="181">
        <f t="shared" si="8"/>
        <v>16551</v>
      </c>
      <c r="G24" s="181">
        <f t="shared" si="8"/>
        <v>23018</v>
      </c>
      <c r="H24" s="181">
        <f t="shared" si="8"/>
        <v>29561</v>
      </c>
      <c r="I24" s="181">
        <f t="shared" si="8"/>
        <v>35062</v>
      </c>
      <c r="J24" s="181">
        <f t="shared" si="8"/>
        <v>41323</v>
      </c>
      <c r="K24" s="181">
        <f t="shared" si="8"/>
        <v>49786</v>
      </c>
      <c r="L24" s="181">
        <f t="shared" si="8"/>
        <v>58704</v>
      </c>
      <c r="M24" s="181">
        <f t="shared" si="8"/>
        <v>68074</v>
      </c>
      <c r="N24" s="181">
        <f t="shared" si="8"/>
        <v>72926</v>
      </c>
      <c r="O24" s="181">
        <f t="shared" si="8"/>
        <v>75926</v>
      </c>
    </row>
    <row r="25" spans="1:16" ht="15" customHeight="1" x14ac:dyDescent="0.25">
      <c r="A25" s="152" t="s">
        <v>188</v>
      </c>
      <c r="B25" s="175" t="s">
        <v>198</v>
      </c>
      <c r="C25" s="189" t="s">
        <v>190</v>
      </c>
      <c r="D25" s="177">
        <v>25</v>
      </c>
      <c r="E25" s="190">
        <v>24</v>
      </c>
      <c r="F25" s="191">
        <v>66.5</v>
      </c>
      <c r="G25" s="190">
        <v>107.5</v>
      </c>
      <c r="H25" s="190">
        <v>183</v>
      </c>
      <c r="I25" s="190">
        <v>165</v>
      </c>
      <c r="J25" s="190">
        <v>106</v>
      </c>
      <c r="K25" s="192">
        <v>78</v>
      </c>
      <c r="L25" s="191">
        <v>34</v>
      </c>
      <c r="M25" s="190">
        <v>28</v>
      </c>
      <c r="N25" s="190">
        <v>37.5</v>
      </c>
      <c r="O25" s="190">
        <v>43</v>
      </c>
    </row>
    <row r="26" spans="1:16" ht="15.75" thickBot="1" x14ac:dyDescent="0.3">
      <c r="A26" s="158"/>
      <c r="B26" s="178"/>
      <c r="C26" s="179" t="s">
        <v>191</v>
      </c>
      <c r="D26" s="180">
        <v>89</v>
      </c>
      <c r="E26" s="181">
        <v>79</v>
      </c>
      <c r="F26" s="181">
        <v>74</v>
      </c>
      <c r="G26" s="181">
        <v>92</v>
      </c>
      <c r="H26" s="182">
        <v>273</v>
      </c>
      <c r="I26" s="181">
        <v>265</v>
      </c>
      <c r="J26" s="181">
        <v>280</v>
      </c>
      <c r="K26" s="183">
        <v>172.5</v>
      </c>
      <c r="L26" s="181">
        <v>156</v>
      </c>
      <c r="M26" s="181">
        <v>126</v>
      </c>
      <c r="N26" s="181">
        <v>98</v>
      </c>
      <c r="O26" s="181">
        <v>42</v>
      </c>
    </row>
    <row r="27" spans="1:16" x14ac:dyDescent="0.25">
      <c r="B27" s="178"/>
      <c r="C27" s="166" t="s">
        <v>192</v>
      </c>
      <c r="D27" s="167">
        <f>(D25/D26)-1</f>
        <v>-0.7191011235955056</v>
      </c>
      <c r="E27" s="167">
        <f t="shared" ref="E27:J27" si="9">(E25/E26)-1</f>
        <v>-0.69620253164556956</v>
      </c>
      <c r="F27" s="167">
        <f t="shared" si="9"/>
        <v>-0.10135135135135132</v>
      </c>
      <c r="G27" s="167">
        <f t="shared" si="9"/>
        <v>0.16847826086956519</v>
      </c>
      <c r="H27" s="167">
        <f t="shared" si="9"/>
        <v>-0.32967032967032972</v>
      </c>
      <c r="I27" s="167">
        <f t="shared" si="9"/>
        <v>-0.37735849056603776</v>
      </c>
      <c r="J27" s="167">
        <f t="shared" si="9"/>
        <v>-0.62142857142857144</v>
      </c>
      <c r="K27" s="168">
        <f>(K25/K26)-1</f>
        <v>-0.54782608695652169</v>
      </c>
      <c r="L27" s="167">
        <f>(L25/L26)-1</f>
        <v>-0.78205128205128205</v>
      </c>
      <c r="M27" s="167">
        <f>(M25/M26)-1</f>
        <v>-0.77777777777777779</v>
      </c>
      <c r="N27" s="167">
        <f>(N25/N26)-1</f>
        <v>-0.61734693877551017</v>
      </c>
      <c r="O27" s="167">
        <f>(O25/O26)-1</f>
        <v>2.3809523809523725E-2</v>
      </c>
    </row>
    <row r="28" spans="1:16" x14ac:dyDescent="0.25">
      <c r="B28" s="178"/>
      <c r="C28" s="184" t="s">
        <v>193</v>
      </c>
      <c r="D28" s="185">
        <f>(D29/D30)-1</f>
        <v>-0.7191011235955056</v>
      </c>
      <c r="E28" s="185">
        <f t="shared" ref="E28:J28" si="10">(E29/E30)-1</f>
        <v>-0.70833333333333326</v>
      </c>
      <c r="F28" s="185">
        <f t="shared" si="10"/>
        <v>-0.52272727272727271</v>
      </c>
      <c r="G28" s="185">
        <f t="shared" si="10"/>
        <v>-0.33233532934131738</v>
      </c>
      <c r="H28" s="185">
        <f t="shared" si="10"/>
        <v>-0.33113673805601318</v>
      </c>
      <c r="I28" s="185">
        <f t="shared" si="10"/>
        <v>-0.34518348623853212</v>
      </c>
      <c r="J28" s="185">
        <f t="shared" si="10"/>
        <v>-0.41232638888888884</v>
      </c>
      <c r="K28" s="186">
        <f>(K29/K30)-1</f>
        <v>-0.42997357493393729</v>
      </c>
      <c r="L28" s="185">
        <f>(L29/L30)-1</f>
        <v>-0.46707193515704148</v>
      </c>
      <c r="M28" s="185">
        <f>(M29/M30)-1</f>
        <v>-0.49144102085278552</v>
      </c>
      <c r="N28" s="185">
        <f>(N29/N30)-1</f>
        <v>-0.49867996479906129</v>
      </c>
      <c r="O28" s="185">
        <f>(O29/O30)-1</f>
        <v>-0.48611508731749209</v>
      </c>
    </row>
    <row r="29" spans="1:16" x14ac:dyDescent="0.25">
      <c r="B29" s="178"/>
      <c r="C29" s="166" t="s">
        <v>194</v>
      </c>
      <c r="D29" s="172">
        <f>D25</f>
        <v>25</v>
      </c>
      <c r="E29" s="172">
        <f>D29+E25</f>
        <v>49</v>
      </c>
      <c r="F29" s="172">
        <f>E29+F25</f>
        <v>115.5</v>
      </c>
      <c r="G29" s="172">
        <f t="shared" ref="G29:J30" si="11">F29+G25</f>
        <v>223</v>
      </c>
      <c r="H29" s="172">
        <f t="shared" si="11"/>
        <v>406</v>
      </c>
      <c r="I29" s="172">
        <f t="shared" si="11"/>
        <v>571</v>
      </c>
      <c r="J29" s="172">
        <f t="shared" si="11"/>
        <v>677</v>
      </c>
      <c r="K29" s="172">
        <f>J29+K25</f>
        <v>755</v>
      </c>
      <c r="L29" s="172">
        <f t="shared" ref="L29:O30" si="12">K29+L25</f>
        <v>789</v>
      </c>
      <c r="M29" s="172">
        <f t="shared" si="12"/>
        <v>817</v>
      </c>
      <c r="N29" s="172">
        <f t="shared" si="12"/>
        <v>854.5</v>
      </c>
      <c r="O29" s="172">
        <f t="shared" si="12"/>
        <v>897.5</v>
      </c>
    </row>
    <row r="30" spans="1:16" ht="15.75" thickBot="1" x14ac:dyDescent="0.3">
      <c r="B30" s="187"/>
      <c r="C30" s="188" t="s">
        <v>195</v>
      </c>
      <c r="D30" s="181">
        <f>D26</f>
        <v>89</v>
      </c>
      <c r="E30" s="181">
        <f>D30+E26</f>
        <v>168</v>
      </c>
      <c r="F30" s="181">
        <f>E30+F26</f>
        <v>242</v>
      </c>
      <c r="G30" s="181">
        <f>F30+G26</f>
        <v>334</v>
      </c>
      <c r="H30" s="181">
        <f>G30+H26</f>
        <v>607</v>
      </c>
      <c r="I30" s="181">
        <f>H30+I26</f>
        <v>872</v>
      </c>
      <c r="J30" s="181">
        <f t="shared" si="11"/>
        <v>1152</v>
      </c>
      <c r="K30" s="181">
        <f>J30+K26</f>
        <v>1324.5</v>
      </c>
      <c r="L30" s="181">
        <f t="shared" si="12"/>
        <v>1480.5</v>
      </c>
      <c r="M30" s="181">
        <f t="shared" si="12"/>
        <v>1606.5</v>
      </c>
      <c r="N30" s="181">
        <f t="shared" si="12"/>
        <v>1704.5</v>
      </c>
      <c r="O30" s="181">
        <f t="shared" si="12"/>
        <v>1746.5</v>
      </c>
    </row>
    <row r="31" spans="1:16" ht="15.75" x14ac:dyDescent="0.25">
      <c r="A31" s="193"/>
      <c r="B31" s="194" t="s">
        <v>199</v>
      </c>
      <c r="C31" s="195" t="s">
        <v>200</v>
      </c>
      <c r="D31" s="196">
        <f>(D13+D25)/D7</f>
        <v>0.75081753599037748</v>
      </c>
      <c r="E31" s="196">
        <f t="shared" ref="E31:O31" si="13">(E13+E25)/E7</f>
        <v>0.79849704978757219</v>
      </c>
      <c r="F31" s="196">
        <f t="shared" si="13"/>
        <v>0.55378589260412348</v>
      </c>
      <c r="G31" s="196">
        <f t="shared" si="13"/>
        <v>0.87340441950192915</v>
      </c>
      <c r="H31" s="196">
        <f t="shared" si="13"/>
        <v>0.67292389800442487</v>
      </c>
      <c r="I31" s="196">
        <f t="shared" si="13"/>
        <v>0.71076788545498149</v>
      </c>
      <c r="J31" s="196">
        <f t="shared" si="13"/>
        <v>0.83588250479716186</v>
      </c>
      <c r="K31" s="196">
        <f t="shared" si="13"/>
        <v>0.70900017005517346</v>
      </c>
      <c r="L31" s="196">
        <f t="shared" si="13"/>
        <v>0.73014531811586525</v>
      </c>
      <c r="M31" s="196">
        <f t="shared" si="13"/>
        <v>0.7723702559951745</v>
      </c>
      <c r="N31" s="196">
        <f t="shared" si="13"/>
        <v>0.69905976084123878</v>
      </c>
      <c r="O31" s="196">
        <f t="shared" si="13"/>
        <v>0.6406499464938068</v>
      </c>
    </row>
    <row r="32" spans="1:16" ht="15.75" x14ac:dyDescent="0.25">
      <c r="A32" s="197"/>
      <c r="B32" s="198"/>
      <c r="C32" s="199" t="s">
        <v>201</v>
      </c>
      <c r="D32" s="200">
        <f>(D17+D29)/D11</f>
        <v>0.75081753599037748</v>
      </c>
      <c r="E32" s="200">
        <f t="shared" ref="E32:O33" si="14">(E17+E29)/E11</f>
        <v>0.77202265748160226</v>
      </c>
      <c r="F32" s="200">
        <f t="shared" si="14"/>
        <v>0.69213701087862567</v>
      </c>
      <c r="G32" s="200">
        <f t="shared" si="14"/>
        <v>0.73549024002963626</v>
      </c>
      <c r="H32" s="200">
        <f t="shared" si="14"/>
        <v>0.72082831267261871</v>
      </c>
      <c r="I32" s="200">
        <f t="shared" si="14"/>
        <v>0.71886743590719471</v>
      </c>
      <c r="J32" s="200">
        <f t="shared" si="14"/>
        <v>0.7346093957828429</v>
      </c>
      <c r="K32" s="200">
        <f t="shared" si="14"/>
        <v>0.73123832744011885</v>
      </c>
      <c r="L32" s="200">
        <f t="shared" si="14"/>
        <v>0.73111583978126893</v>
      </c>
      <c r="M32" s="200">
        <f t="shared" si="14"/>
        <v>0.73510660713640052</v>
      </c>
      <c r="N32" s="200">
        <f t="shared" si="14"/>
        <v>0.73171908998218127</v>
      </c>
      <c r="O32" s="200">
        <f t="shared" si="14"/>
        <v>0.7240590116824045</v>
      </c>
    </row>
    <row r="33" spans="1:16" ht="16.5" thickBot="1" x14ac:dyDescent="0.3">
      <c r="A33" s="201"/>
      <c r="B33" s="202"/>
      <c r="C33" s="203" t="s">
        <v>202</v>
      </c>
      <c r="D33" s="204">
        <f>(D18+D30)/D12</f>
        <v>0.76219631601493176</v>
      </c>
      <c r="E33" s="204">
        <f t="shared" si="14"/>
        <v>0.75461098268086557</v>
      </c>
      <c r="F33" s="204">
        <f t="shared" si="14"/>
        <v>0.69399774445511886</v>
      </c>
      <c r="G33" s="204">
        <f t="shared" si="14"/>
        <v>0.69576848693504856</v>
      </c>
      <c r="H33" s="204">
        <f t="shared" si="14"/>
        <v>0.70937999652882844</v>
      </c>
      <c r="I33" s="204">
        <f t="shared" si="14"/>
        <v>0.6947766529952073</v>
      </c>
      <c r="J33" s="204">
        <f t="shared" si="14"/>
        <v>0.6990953428098291</v>
      </c>
      <c r="K33" s="204">
        <f t="shared" si="14"/>
        <v>0.69574432141731057</v>
      </c>
      <c r="L33" s="204">
        <f t="shared" si="14"/>
        <v>0.71099530359652185</v>
      </c>
      <c r="M33" s="204">
        <f t="shared" si="14"/>
        <v>0.71864547646806543</v>
      </c>
      <c r="N33" s="204">
        <f t="shared" si="14"/>
        <v>0.71888044599058265</v>
      </c>
      <c r="O33" s="204">
        <f t="shared" si="14"/>
        <v>0.71409879490537254</v>
      </c>
    </row>
    <row r="34" spans="1:16" ht="15.75" customHeight="1" x14ac:dyDescent="0.25">
      <c r="A34" s="152" t="s">
        <v>188</v>
      </c>
      <c r="B34" s="205" t="s">
        <v>203</v>
      </c>
      <c r="C34" s="206" t="s">
        <v>190</v>
      </c>
      <c r="D34" s="207">
        <f>+PIGOO!B81</f>
        <v>224509</v>
      </c>
      <c r="E34" s="207">
        <f>+PIGOO!C81</f>
        <v>207262</v>
      </c>
      <c r="F34" s="207">
        <f>+PIGOO!D81</f>
        <v>218888</v>
      </c>
      <c r="G34" s="207">
        <f>+PIGOO!E81</f>
        <v>254048</v>
      </c>
      <c r="H34" s="207">
        <f>+PIGOO!F81</f>
        <v>214543</v>
      </c>
      <c r="I34" s="207">
        <f>+PIGOO!G81</f>
        <v>263099</v>
      </c>
      <c r="J34" s="207">
        <f>+PIGOO!H81</f>
        <v>250435</v>
      </c>
      <c r="K34" s="207">
        <f>+PIGOO!I81</f>
        <v>220500</v>
      </c>
      <c r="L34" s="207">
        <f>+PIGOO!J81</f>
        <v>214028</v>
      </c>
      <c r="M34" s="207">
        <f>+PIGOO!K81</f>
        <v>212038</v>
      </c>
      <c r="N34" s="207">
        <f>+PIGOO!L81</f>
        <v>212380</v>
      </c>
      <c r="O34" s="207">
        <f>+PIGOO!M81</f>
        <v>209647</v>
      </c>
      <c r="P34" s="157">
        <v>3</v>
      </c>
    </row>
    <row r="35" spans="1:16" ht="15.75" thickBot="1" x14ac:dyDescent="0.3">
      <c r="A35" s="158"/>
      <c r="B35" s="208"/>
      <c r="C35" s="209" t="s">
        <v>191</v>
      </c>
      <c r="D35" s="210">
        <v>229637</v>
      </c>
      <c r="E35" s="211">
        <v>188816</v>
      </c>
      <c r="F35" s="211">
        <v>204055</v>
      </c>
      <c r="G35" s="211">
        <v>202834</v>
      </c>
      <c r="H35" s="211">
        <v>277650</v>
      </c>
      <c r="I35" s="211">
        <v>232337</v>
      </c>
      <c r="J35" s="211">
        <v>280614</v>
      </c>
      <c r="K35" s="211">
        <v>244260</v>
      </c>
      <c r="L35" s="211">
        <v>253363</v>
      </c>
      <c r="M35" s="211">
        <v>251448</v>
      </c>
      <c r="N35" s="211">
        <v>211094</v>
      </c>
      <c r="O35" s="210">
        <v>201271</v>
      </c>
    </row>
    <row r="36" spans="1:16" x14ac:dyDescent="0.25">
      <c r="B36" s="208"/>
      <c r="C36" s="212" t="s">
        <v>192</v>
      </c>
      <c r="D36" s="213">
        <f>(D34/D35)-1</f>
        <v>-2.2330896153494373E-2</v>
      </c>
      <c r="E36" s="213">
        <f t="shared" ref="E36:O36" si="15">(E34/E35)-1</f>
        <v>9.7692992119311928E-2</v>
      </c>
      <c r="F36" s="213">
        <f t="shared" si="15"/>
        <v>7.2691186199798974E-2</v>
      </c>
      <c r="G36" s="213">
        <f t="shared" si="15"/>
        <v>0.25249218572823096</v>
      </c>
      <c r="H36" s="213">
        <f t="shared" si="15"/>
        <v>-0.2272897532865118</v>
      </c>
      <c r="I36" s="213">
        <f t="shared" si="15"/>
        <v>0.13240250153871314</v>
      </c>
      <c r="J36" s="213">
        <f t="shared" si="15"/>
        <v>-0.10754630916490271</v>
      </c>
      <c r="K36" s="213">
        <f t="shared" si="15"/>
        <v>-9.7273397199705181E-2</v>
      </c>
      <c r="L36" s="213">
        <f t="shared" si="15"/>
        <v>-0.1552515560677763</v>
      </c>
      <c r="M36" s="213">
        <f t="shared" si="15"/>
        <v>-0.15673220705672741</v>
      </c>
      <c r="N36" s="213">
        <f t="shared" si="15"/>
        <v>6.0920727258946261E-3</v>
      </c>
      <c r="O36" s="213">
        <f t="shared" si="15"/>
        <v>4.1615533285967565E-2</v>
      </c>
    </row>
    <row r="37" spans="1:16" x14ac:dyDescent="0.25">
      <c r="B37" s="208"/>
      <c r="C37" s="211" t="s">
        <v>193</v>
      </c>
      <c r="D37" s="214">
        <f>(D38/D39)-1</f>
        <v>-2.2330896153494373E-2</v>
      </c>
      <c r="E37" s="214">
        <f t="shared" ref="E37:O37" si="16">(E38/E39)-1</f>
        <v>3.1826752347336562E-2</v>
      </c>
      <c r="F37" s="214">
        <f t="shared" si="16"/>
        <v>4.5221908794746524E-2</v>
      </c>
      <c r="G37" s="214">
        <f t="shared" si="16"/>
        <v>9.6160137252193634E-2</v>
      </c>
      <c r="H37" s="214">
        <f t="shared" si="16"/>
        <v>1.4739907451731371E-2</v>
      </c>
      <c r="I37" s="214">
        <f t="shared" si="16"/>
        <v>3.5212295995967979E-2</v>
      </c>
      <c r="J37" s="214">
        <f t="shared" si="16"/>
        <v>1.0421778490949274E-2</v>
      </c>
      <c r="K37" s="214">
        <f t="shared" si="16"/>
        <v>-3.7194865291583223E-3</v>
      </c>
      <c r="L37" s="214">
        <f t="shared" si="16"/>
        <v>-2.1884341440011834E-2</v>
      </c>
      <c r="M37" s="214">
        <f t="shared" si="16"/>
        <v>-3.6221350063889712E-2</v>
      </c>
      <c r="N37" s="214">
        <f t="shared" si="16"/>
        <v>-3.2754061553319946E-2</v>
      </c>
      <c r="O37" s="214">
        <f t="shared" si="16"/>
        <v>-2.7364648468934161E-2</v>
      </c>
    </row>
    <row r="38" spans="1:16" x14ac:dyDescent="0.25">
      <c r="B38" s="208"/>
      <c r="C38" s="212" t="s">
        <v>194</v>
      </c>
      <c r="D38" s="215">
        <f>+D34</f>
        <v>224509</v>
      </c>
      <c r="E38" s="212">
        <f>+D38+E34</f>
        <v>431771</v>
      </c>
      <c r="F38" s="212">
        <f t="shared" ref="F38:O39" si="17">+E38+F34</f>
        <v>650659</v>
      </c>
      <c r="G38" s="212">
        <f t="shared" si="17"/>
        <v>904707</v>
      </c>
      <c r="H38" s="212">
        <f t="shared" si="17"/>
        <v>1119250</v>
      </c>
      <c r="I38" s="212">
        <f t="shared" si="17"/>
        <v>1382349</v>
      </c>
      <c r="J38" s="212">
        <f t="shared" si="17"/>
        <v>1632784</v>
      </c>
      <c r="K38" s="212">
        <f t="shared" si="17"/>
        <v>1853284</v>
      </c>
      <c r="L38" s="212">
        <f t="shared" si="17"/>
        <v>2067312</v>
      </c>
      <c r="M38" s="212">
        <f t="shared" si="17"/>
        <v>2279350</v>
      </c>
      <c r="N38" s="212">
        <f t="shared" si="17"/>
        <v>2491730</v>
      </c>
      <c r="O38" s="215">
        <f t="shared" si="17"/>
        <v>2701377</v>
      </c>
    </row>
    <row r="39" spans="1:16" ht="15.75" thickBot="1" x14ac:dyDescent="0.3">
      <c r="B39" s="208"/>
      <c r="C39" s="211" t="s">
        <v>195</v>
      </c>
      <c r="D39" s="216">
        <f>+D35</f>
        <v>229637</v>
      </c>
      <c r="E39" s="211">
        <f>+D39+E35</f>
        <v>418453</v>
      </c>
      <c r="F39" s="211">
        <f t="shared" si="17"/>
        <v>622508</v>
      </c>
      <c r="G39" s="211">
        <f t="shared" si="17"/>
        <v>825342</v>
      </c>
      <c r="H39" s="211">
        <f t="shared" si="17"/>
        <v>1102992</v>
      </c>
      <c r="I39" s="211">
        <f t="shared" si="17"/>
        <v>1335329</v>
      </c>
      <c r="J39" s="211">
        <f t="shared" si="17"/>
        <v>1615943</v>
      </c>
      <c r="K39" s="211">
        <f t="shared" si="17"/>
        <v>1860203</v>
      </c>
      <c r="L39" s="211">
        <f t="shared" si="17"/>
        <v>2113566</v>
      </c>
      <c r="M39" s="211">
        <f t="shared" si="17"/>
        <v>2365014</v>
      </c>
      <c r="N39" s="211">
        <f t="shared" si="17"/>
        <v>2576108</v>
      </c>
      <c r="O39" s="216">
        <f t="shared" si="17"/>
        <v>2777379</v>
      </c>
    </row>
    <row r="40" spans="1:16" ht="15" customHeight="1" x14ac:dyDescent="0.25">
      <c r="B40" s="205" t="s">
        <v>204</v>
      </c>
      <c r="C40" s="206" t="s">
        <v>190</v>
      </c>
      <c r="D40" s="207">
        <f>+PIGOO!B82</f>
        <v>26616</v>
      </c>
      <c r="E40" s="207">
        <f>+PIGOO!C82</f>
        <v>25607</v>
      </c>
      <c r="F40" s="207">
        <f>+PIGOO!D82</f>
        <v>35302</v>
      </c>
      <c r="G40" s="207">
        <f>+PIGOO!E82</f>
        <v>29793</v>
      </c>
      <c r="H40" s="207">
        <f>+PIGOO!F82</f>
        <v>29204</v>
      </c>
      <c r="I40" s="207">
        <f>+PIGOO!G82</f>
        <v>38129</v>
      </c>
      <c r="J40" s="207">
        <f>+PIGOO!H82</f>
        <v>36656</v>
      </c>
      <c r="K40" s="207">
        <f>+PIGOO!I82</f>
        <v>35364</v>
      </c>
      <c r="L40" s="207">
        <f>+PIGOO!J82</f>
        <v>31515</v>
      </c>
      <c r="M40" s="207">
        <f>+PIGOO!K82</f>
        <v>30008</v>
      </c>
      <c r="N40" s="207">
        <f>+PIGOO!L82</f>
        <v>34246</v>
      </c>
      <c r="O40" s="207">
        <f>+PIGOO!M82</f>
        <v>33591</v>
      </c>
      <c r="P40" s="157">
        <v>4</v>
      </c>
    </row>
    <row r="41" spans="1:16" x14ac:dyDescent="0.25">
      <c r="B41" s="208"/>
      <c r="C41" s="209" t="s">
        <v>191</v>
      </c>
      <c r="D41" s="210">
        <v>34213</v>
      </c>
      <c r="E41" s="211">
        <v>24813</v>
      </c>
      <c r="F41" s="211">
        <v>26127</v>
      </c>
      <c r="G41" s="211">
        <v>18178</v>
      </c>
      <c r="H41" s="211">
        <v>31540</v>
      </c>
      <c r="I41" s="211">
        <v>33287</v>
      </c>
      <c r="J41" s="211">
        <v>37638</v>
      </c>
      <c r="K41" s="211">
        <v>29571</v>
      </c>
      <c r="L41" s="211">
        <v>33543</v>
      </c>
      <c r="M41" s="211">
        <v>34757</v>
      </c>
      <c r="N41" s="211">
        <v>26532</v>
      </c>
      <c r="O41" s="210">
        <v>30701</v>
      </c>
    </row>
    <row r="42" spans="1:16" x14ac:dyDescent="0.25">
      <c r="B42" s="208"/>
      <c r="C42" s="212" t="s">
        <v>192</v>
      </c>
      <c r="D42" s="213">
        <f>(D40/D41)-1</f>
        <v>-0.22205009791599684</v>
      </c>
      <c r="E42" s="213">
        <f t="shared" ref="E42:O42" si="18">(E40/E41)-1</f>
        <v>3.1999355176721922E-2</v>
      </c>
      <c r="F42" s="213">
        <f t="shared" si="18"/>
        <v>0.35116928847552331</v>
      </c>
      <c r="G42" s="213">
        <f t="shared" si="18"/>
        <v>0.63895918142809993</v>
      </c>
      <c r="H42" s="213">
        <f t="shared" si="18"/>
        <v>-7.4064679771718489E-2</v>
      </c>
      <c r="I42" s="213">
        <f t="shared" si="18"/>
        <v>0.14546219244750214</v>
      </c>
      <c r="J42" s="213">
        <f t="shared" si="18"/>
        <v>-2.6090653063393421E-2</v>
      </c>
      <c r="K42" s="213">
        <f t="shared" si="18"/>
        <v>0.19590138987521555</v>
      </c>
      <c r="L42" s="213">
        <f t="shared" si="18"/>
        <v>-6.0459708433950432E-2</v>
      </c>
      <c r="M42" s="213">
        <f t="shared" si="18"/>
        <v>-0.1366343470380067</v>
      </c>
      <c r="N42" s="213">
        <f t="shared" si="18"/>
        <v>0.29074325342982066</v>
      </c>
      <c r="O42" s="213">
        <f t="shared" si="18"/>
        <v>9.4133741571935658E-2</v>
      </c>
    </row>
    <row r="43" spans="1:16" x14ac:dyDescent="0.25">
      <c r="B43" s="208"/>
      <c r="C43" s="211" t="s">
        <v>193</v>
      </c>
      <c r="D43" s="214">
        <f>(D44/D45)-1</f>
        <v>-0.22205009791599684</v>
      </c>
      <c r="E43" s="214">
        <f t="shared" ref="E43:O43" si="19">(E44/E45)-1</f>
        <v>-0.11525429471758208</v>
      </c>
      <c r="F43" s="214">
        <f t="shared" si="19"/>
        <v>2.7855742017310003E-2</v>
      </c>
      <c r="G43" s="214">
        <f t="shared" si="19"/>
        <v>0.13536112105757225</v>
      </c>
      <c r="H43" s="214">
        <f t="shared" si="19"/>
        <v>8.6386250565354983E-2</v>
      </c>
      <c r="I43" s="214">
        <f t="shared" si="19"/>
        <v>9.808037678849657E-2</v>
      </c>
      <c r="J43" s="214">
        <f t="shared" si="19"/>
        <v>7.5370755505451914E-2</v>
      </c>
      <c r="K43" s="214">
        <f t="shared" si="19"/>
        <v>9.0513963299867939E-2</v>
      </c>
      <c r="L43" s="214">
        <f t="shared" si="19"/>
        <v>7.1681975382098084E-2</v>
      </c>
      <c r="M43" s="214">
        <f t="shared" si="19"/>
        <v>4.783858634622784E-2</v>
      </c>
      <c r="N43" s="214">
        <f t="shared" si="19"/>
        <v>6.7356351775747392E-2</v>
      </c>
      <c r="O43" s="214">
        <f t="shared" si="19"/>
        <v>6.9634247714048136E-2</v>
      </c>
    </row>
    <row r="44" spans="1:16" x14ac:dyDescent="0.25">
      <c r="B44" s="208"/>
      <c r="C44" s="212" t="s">
        <v>194</v>
      </c>
      <c r="D44" s="215">
        <f>+D40</f>
        <v>26616</v>
      </c>
      <c r="E44" s="212">
        <f>+D44+E40</f>
        <v>52223</v>
      </c>
      <c r="F44" s="212">
        <f t="shared" ref="F44:O45" si="20">+E44+F40</f>
        <v>87525</v>
      </c>
      <c r="G44" s="212">
        <f t="shared" si="20"/>
        <v>117318</v>
      </c>
      <c r="H44" s="212">
        <f t="shared" si="20"/>
        <v>146522</v>
      </c>
      <c r="I44" s="212">
        <f t="shared" si="20"/>
        <v>184651</v>
      </c>
      <c r="J44" s="212">
        <f t="shared" si="20"/>
        <v>221307</v>
      </c>
      <c r="K44" s="212">
        <f t="shared" si="20"/>
        <v>256671</v>
      </c>
      <c r="L44" s="212">
        <f t="shared" si="20"/>
        <v>288186</v>
      </c>
      <c r="M44" s="212">
        <f t="shared" si="20"/>
        <v>318194</v>
      </c>
      <c r="N44" s="212">
        <f t="shared" si="20"/>
        <v>352440</v>
      </c>
      <c r="O44" s="215">
        <f t="shared" si="20"/>
        <v>386031</v>
      </c>
    </row>
    <row r="45" spans="1:16" ht="15.75" thickBot="1" x14ac:dyDescent="0.3">
      <c r="B45" s="208"/>
      <c r="C45" s="211" t="s">
        <v>195</v>
      </c>
      <c r="D45" s="216">
        <f>+D41</f>
        <v>34213</v>
      </c>
      <c r="E45" s="211">
        <f>+D45+E41</f>
        <v>59026</v>
      </c>
      <c r="F45" s="211">
        <f t="shared" si="20"/>
        <v>85153</v>
      </c>
      <c r="G45" s="211">
        <f t="shared" si="20"/>
        <v>103331</v>
      </c>
      <c r="H45" s="211">
        <f t="shared" si="20"/>
        <v>134871</v>
      </c>
      <c r="I45" s="211">
        <f t="shared" si="20"/>
        <v>168158</v>
      </c>
      <c r="J45" s="211">
        <f t="shared" si="20"/>
        <v>205796</v>
      </c>
      <c r="K45" s="211">
        <f t="shared" si="20"/>
        <v>235367</v>
      </c>
      <c r="L45" s="211">
        <f t="shared" si="20"/>
        <v>268910</v>
      </c>
      <c r="M45" s="211">
        <f t="shared" si="20"/>
        <v>303667</v>
      </c>
      <c r="N45" s="211">
        <f t="shared" si="20"/>
        <v>330199</v>
      </c>
      <c r="O45" s="216">
        <f t="shared" si="20"/>
        <v>360900</v>
      </c>
    </row>
    <row r="46" spans="1:16" ht="15.75" hidden="1" thickBot="1" x14ac:dyDescent="0.3">
      <c r="A46" s="152" t="s">
        <v>188</v>
      </c>
      <c r="B46" s="205" t="s">
        <v>205</v>
      </c>
      <c r="C46" s="217" t="s">
        <v>190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18">
        <v>0</v>
      </c>
      <c r="J46" s="218">
        <v>0</v>
      </c>
      <c r="K46" s="218">
        <v>0</v>
      </c>
      <c r="L46" s="218">
        <v>0</v>
      </c>
      <c r="M46" s="218">
        <v>0</v>
      </c>
      <c r="N46" s="219">
        <v>0</v>
      </c>
      <c r="O46" s="219">
        <v>0</v>
      </c>
    </row>
    <row r="47" spans="1:16" ht="15.75" hidden="1" thickBot="1" x14ac:dyDescent="0.3">
      <c r="A47" s="158"/>
      <c r="B47" s="208"/>
      <c r="C47" s="209" t="s">
        <v>191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0">
        <v>0</v>
      </c>
      <c r="O47" s="210">
        <v>0</v>
      </c>
    </row>
    <row r="48" spans="1:16" ht="15.75" hidden="1" thickBot="1" x14ac:dyDescent="0.3">
      <c r="B48" s="208"/>
      <c r="C48" s="212" t="s">
        <v>192</v>
      </c>
      <c r="D48" s="220" t="e">
        <f>(D46/D47)-1</f>
        <v>#DIV/0!</v>
      </c>
      <c r="E48" s="220" t="e">
        <f t="shared" ref="E48:O48" si="21">(E46/E47)-1</f>
        <v>#DIV/0!</v>
      </c>
      <c r="F48" s="220" t="e">
        <f t="shared" si="21"/>
        <v>#DIV/0!</v>
      </c>
      <c r="G48" s="220" t="e">
        <f t="shared" si="21"/>
        <v>#DIV/0!</v>
      </c>
      <c r="H48" s="220" t="e">
        <f t="shared" si="21"/>
        <v>#DIV/0!</v>
      </c>
      <c r="I48" s="220" t="e">
        <f t="shared" si="21"/>
        <v>#DIV/0!</v>
      </c>
      <c r="J48" s="220" t="e">
        <f t="shared" si="21"/>
        <v>#DIV/0!</v>
      </c>
      <c r="K48" s="220" t="e">
        <f t="shared" si="21"/>
        <v>#DIV/0!</v>
      </c>
      <c r="L48" s="220" t="e">
        <f t="shared" si="21"/>
        <v>#DIV/0!</v>
      </c>
      <c r="M48" s="220" t="e">
        <f t="shared" si="21"/>
        <v>#DIV/0!</v>
      </c>
      <c r="N48" s="220" t="e">
        <f t="shared" si="21"/>
        <v>#DIV/0!</v>
      </c>
      <c r="O48" s="220" t="e">
        <f t="shared" si="21"/>
        <v>#DIV/0!</v>
      </c>
    </row>
    <row r="49" spans="1:16" ht="15.75" hidden="1" thickBot="1" x14ac:dyDescent="0.3">
      <c r="B49" s="208"/>
      <c r="C49" s="211" t="s">
        <v>193</v>
      </c>
      <c r="D49" s="214" t="e">
        <f>(D50/D51)-1</f>
        <v>#DIV/0!</v>
      </c>
      <c r="E49" s="214" t="e">
        <f t="shared" ref="E49:O49" si="22">(E50/E51)-1</f>
        <v>#DIV/0!</v>
      </c>
      <c r="F49" s="214" t="e">
        <f t="shared" si="22"/>
        <v>#DIV/0!</v>
      </c>
      <c r="G49" s="214" t="e">
        <f t="shared" si="22"/>
        <v>#DIV/0!</v>
      </c>
      <c r="H49" s="214" t="e">
        <f t="shared" si="22"/>
        <v>#DIV/0!</v>
      </c>
      <c r="I49" s="214" t="e">
        <f t="shared" si="22"/>
        <v>#DIV/0!</v>
      </c>
      <c r="J49" s="214" t="e">
        <f t="shared" si="22"/>
        <v>#DIV/0!</v>
      </c>
      <c r="K49" s="214" t="e">
        <f t="shared" si="22"/>
        <v>#DIV/0!</v>
      </c>
      <c r="L49" s="214" t="e">
        <f t="shared" si="22"/>
        <v>#DIV/0!</v>
      </c>
      <c r="M49" s="214" t="e">
        <f t="shared" si="22"/>
        <v>#DIV/0!</v>
      </c>
      <c r="N49" s="214" t="e">
        <f t="shared" si="22"/>
        <v>#DIV/0!</v>
      </c>
      <c r="O49" s="214" t="e">
        <f t="shared" si="22"/>
        <v>#DIV/0!</v>
      </c>
    </row>
    <row r="50" spans="1:16" ht="15.75" hidden="1" thickBot="1" x14ac:dyDescent="0.3">
      <c r="B50" s="208"/>
      <c r="C50" s="212" t="s">
        <v>194</v>
      </c>
      <c r="D50" s="212">
        <f>+D46</f>
        <v>0</v>
      </c>
      <c r="E50" s="212">
        <f>+D50+E46</f>
        <v>0</v>
      </c>
      <c r="F50" s="212">
        <f t="shared" ref="F50:O51" si="23">+E50+F46</f>
        <v>0</v>
      </c>
      <c r="G50" s="212">
        <f t="shared" si="23"/>
        <v>0</v>
      </c>
      <c r="H50" s="212">
        <f t="shared" si="23"/>
        <v>0</v>
      </c>
      <c r="I50" s="212">
        <f t="shared" si="23"/>
        <v>0</v>
      </c>
      <c r="J50" s="212">
        <f t="shared" si="23"/>
        <v>0</v>
      </c>
      <c r="K50" s="212">
        <f t="shared" si="23"/>
        <v>0</v>
      </c>
      <c r="L50" s="212">
        <f t="shared" si="23"/>
        <v>0</v>
      </c>
      <c r="M50" s="212">
        <f t="shared" si="23"/>
        <v>0</v>
      </c>
      <c r="N50" s="212">
        <f t="shared" si="23"/>
        <v>0</v>
      </c>
      <c r="O50" s="215">
        <f t="shared" si="23"/>
        <v>0</v>
      </c>
    </row>
    <row r="51" spans="1:16" ht="15.75" hidden="1" thickBot="1" x14ac:dyDescent="0.3">
      <c r="B51" s="208"/>
      <c r="C51" s="221" t="s">
        <v>195</v>
      </c>
      <c r="D51" s="221">
        <f>+D47</f>
        <v>0</v>
      </c>
      <c r="E51" s="221">
        <f>+D51+E47</f>
        <v>0</v>
      </c>
      <c r="F51" s="221">
        <f t="shared" si="23"/>
        <v>0</v>
      </c>
      <c r="G51" s="221">
        <f t="shared" si="23"/>
        <v>0</v>
      </c>
      <c r="H51" s="221">
        <f t="shared" si="23"/>
        <v>0</v>
      </c>
      <c r="I51" s="221">
        <f t="shared" si="23"/>
        <v>0</v>
      </c>
      <c r="J51" s="221">
        <f t="shared" si="23"/>
        <v>0</v>
      </c>
      <c r="K51" s="221">
        <f t="shared" si="23"/>
        <v>0</v>
      </c>
      <c r="L51" s="221">
        <f t="shared" si="23"/>
        <v>0</v>
      </c>
      <c r="M51" s="221">
        <f t="shared" si="23"/>
        <v>0</v>
      </c>
      <c r="N51" s="221">
        <f t="shared" si="23"/>
        <v>0</v>
      </c>
      <c r="O51" s="216">
        <f t="shared" si="23"/>
        <v>0</v>
      </c>
    </row>
    <row r="52" spans="1:16" ht="15.75" x14ac:dyDescent="0.25">
      <c r="A52" s="193"/>
      <c r="B52" s="194" t="s">
        <v>206</v>
      </c>
      <c r="C52" s="195" t="s">
        <v>200</v>
      </c>
      <c r="D52" s="222">
        <f>+D34/D13</f>
        <v>0.74936248331108146</v>
      </c>
      <c r="E52" s="222">
        <f t="shared" ref="E52:O52" si="24">+E34/E13</f>
        <v>0.81213607830536905</v>
      </c>
      <c r="F52" s="222">
        <f t="shared" si="24"/>
        <v>0.95273081811375937</v>
      </c>
      <c r="G52" s="222">
        <f t="shared" si="24"/>
        <v>0.81647554892785523</v>
      </c>
      <c r="H52" s="222">
        <f t="shared" si="24"/>
        <v>0.6994978970362884</v>
      </c>
      <c r="I52" s="222">
        <f t="shared" si="24"/>
        <v>0.78604121727803433</v>
      </c>
      <c r="J52" s="222">
        <f t="shared" si="24"/>
        <v>0.79763736141235975</v>
      </c>
      <c r="K52" s="222">
        <f t="shared" si="24"/>
        <v>0.73473794346683019</v>
      </c>
      <c r="L52" s="222">
        <f t="shared" si="24"/>
        <v>0.72219166618864283</v>
      </c>
      <c r="M52" s="222">
        <f t="shared" si="24"/>
        <v>0.70772989589556845</v>
      </c>
      <c r="N52" s="222">
        <f t="shared" si="24"/>
        <v>0.7304758170474166</v>
      </c>
      <c r="O52" s="222">
        <f t="shared" si="24"/>
        <v>0.80516403075528653</v>
      </c>
    </row>
    <row r="53" spans="1:16" ht="15.75" x14ac:dyDescent="0.25">
      <c r="A53" s="197"/>
      <c r="B53" s="198"/>
      <c r="C53" s="199" t="s">
        <v>201</v>
      </c>
      <c r="D53" s="200">
        <f>+D38/D17</f>
        <v>0.74936248331108146</v>
      </c>
      <c r="E53" s="200">
        <f t="shared" ref="E53:O54" si="25">+E38/E17</f>
        <v>0.77823779843765206</v>
      </c>
      <c r="F53" s="200">
        <f t="shared" si="25"/>
        <v>0.82933615786803716</v>
      </c>
      <c r="G53" s="200">
        <f t="shared" si="25"/>
        <v>0.82568407948847589</v>
      </c>
      <c r="H53" s="200">
        <f t="shared" si="25"/>
        <v>0.79808701555030748</v>
      </c>
      <c r="I53" s="200">
        <f t="shared" si="25"/>
        <v>0.79576600484707538</v>
      </c>
      <c r="J53" s="200">
        <f t="shared" si="25"/>
        <v>0.79605246158039022</v>
      </c>
      <c r="K53" s="200">
        <f t="shared" si="25"/>
        <v>0.78822630749810307</v>
      </c>
      <c r="L53" s="200">
        <f t="shared" si="25"/>
        <v>0.7808346304361703</v>
      </c>
      <c r="M53" s="200">
        <f t="shared" si="25"/>
        <v>0.77340295944923432</v>
      </c>
      <c r="N53" s="200">
        <f t="shared" si="25"/>
        <v>0.76954840032712435</v>
      </c>
      <c r="O53" s="200">
        <f t="shared" si="25"/>
        <v>0.77219927450268555</v>
      </c>
    </row>
    <row r="54" spans="1:16" ht="16.5" thickBot="1" x14ac:dyDescent="0.3">
      <c r="A54" s="201"/>
      <c r="B54" s="202"/>
      <c r="C54" s="203" t="s">
        <v>202</v>
      </c>
      <c r="D54" s="204">
        <f>+D39/D18</f>
        <v>0.92219250477888615</v>
      </c>
      <c r="E54" s="204">
        <f t="shared" si="25"/>
        <v>0.84089182726121814</v>
      </c>
      <c r="F54" s="204">
        <f t="shared" si="25"/>
        <v>0.83286127318435232</v>
      </c>
      <c r="G54" s="204">
        <f t="shared" si="25"/>
        <v>0.80324786424604822</v>
      </c>
      <c r="H54" s="204">
        <f t="shared" si="25"/>
        <v>0.79639791592056464</v>
      </c>
      <c r="I54" s="204">
        <f t="shared" si="25"/>
        <v>0.80078163417553605</v>
      </c>
      <c r="J54" s="204">
        <f t="shared" si="25"/>
        <v>0.80818081883207749</v>
      </c>
      <c r="K54" s="204">
        <f t="shared" si="25"/>
        <v>0.79425627511401242</v>
      </c>
      <c r="L54" s="204">
        <f t="shared" si="25"/>
        <v>0.77962596827738839</v>
      </c>
      <c r="M54" s="204">
        <f t="shared" si="25"/>
        <v>0.77677850021217587</v>
      </c>
      <c r="N54" s="204">
        <f t="shared" si="25"/>
        <v>0.77196795028926612</v>
      </c>
      <c r="O54" s="204">
        <f t="shared" si="25"/>
        <v>0.77465821510971478</v>
      </c>
    </row>
    <row r="55" spans="1:16" x14ac:dyDescent="0.25">
      <c r="A55" s="223" t="s">
        <v>207</v>
      </c>
      <c r="B55" s="224" t="s">
        <v>208</v>
      </c>
      <c r="C55" s="154" t="s">
        <v>190</v>
      </c>
      <c r="D55" s="177">
        <f>+PIGOO!B94+PIGOO!B95+PIGOO!B96</f>
        <v>6445508.9500000002</v>
      </c>
      <c r="E55" s="177">
        <f>+PIGOO!C94+PIGOO!C95+PIGOO!C96</f>
        <v>6114119.4100000001</v>
      </c>
      <c r="F55" s="177">
        <f>+PIGOO!D94+PIGOO!D95+PIGOO!D96</f>
        <v>5491577.5699999994</v>
      </c>
      <c r="G55" s="177">
        <f>+PIGOO!E94+PIGOO!E95+PIGOO!E96</f>
        <v>6629022.0200000005</v>
      </c>
      <c r="H55" s="177">
        <f>+PIGOO!F94+PIGOO!F95+PIGOO!F96</f>
        <v>6597273.3700000001</v>
      </c>
      <c r="I55" s="177">
        <f>+PIGOO!G94+PIGOO!G95+PIGOO!G96</f>
        <v>6987045.4199999999</v>
      </c>
      <c r="J55" s="177">
        <f>+PIGOO!H94+PIGOO!H95+PIGOO!H96</f>
        <v>6784367.3100000005</v>
      </c>
      <c r="K55" s="177">
        <f>+PIGOO!I94+PIGOO!I95+PIGOO!I96</f>
        <v>6525282.1399999997</v>
      </c>
      <c r="L55" s="177">
        <f>+PIGOO!J94+PIGOO!J95+PIGOO!J96</f>
        <v>6445585.7000000011</v>
      </c>
      <c r="M55" s="177">
        <f>+PIGOO!K94+PIGOO!K95+PIGOO!K96</f>
        <v>6592065.3499999996</v>
      </c>
      <c r="N55" s="177">
        <f>+PIGOO!L94+PIGOO!L95+PIGOO!L96</f>
        <v>6490210.9199999999</v>
      </c>
      <c r="O55" s="177">
        <f>+PIGOO!M94+PIGOO!M95+PIGOO!M96</f>
        <v>6111985.2999999998</v>
      </c>
      <c r="P55" s="157">
        <v>5</v>
      </c>
    </row>
    <row r="56" spans="1:16" ht="15.75" thickBot="1" x14ac:dyDescent="0.3">
      <c r="A56" s="225"/>
      <c r="B56" s="226"/>
      <c r="C56" s="227" t="s">
        <v>191</v>
      </c>
      <c r="D56" s="228">
        <v>5381256.2799999993</v>
      </c>
      <c r="E56" s="229">
        <v>5371197.3499999987</v>
      </c>
      <c r="F56" s="229">
        <v>5350724.8600000003</v>
      </c>
      <c r="G56" s="229">
        <v>5778818.6900000004</v>
      </c>
      <c r="H56" s="229">
        <v>7017026.0900000008</v>
      </c>
      <c r="I56" s="229">
        <v>6376227.6500000004</v>
      </c>
      <c r="J56" s="229">
        <v>7586797.6500000004</v>
      </c>
      <c r="K56" s="230">
        <v>6794355.7999999998</v>
      </c>
      <c r="L56" s="229">
        <v>7343717.1000000006</v>
      </c>
      <c r="M56" s="229">
        <v>6780898.2999999998</v>
      </c>
      <c r="N56" s="229">
        <v>6266521.54</v>
      </c>
      <c r="O56" s="229">
        <v>6849792.75</v>
      </c>
    </row>
    <row r="57" spans="1:16" x14ac:dyDescent="0.25">
      <c r="B57" s="226"/>
      <c r="C57" s="166" t="s">
        <v>192</v>
      </c>
      <c r="D57" s="167">
        <f>(D55/D56)-1</f>
        <v>0.19777030020952679</v>
      </c>
      <c r="E57" s="167">
        <f t="shared" ref="E57:J57" si="26">(E55/E56)-1</f>
        <v>0.13831591200051552</v>
      </c>
      <c r="F57" s="167">
        <f t="shared" si="26"/>
        <v>2.6324042757825294E-2</v>
      </c>
      <c r="G57" s="167">
        <f t="shared" si="26"/>
        <v>0.14712407078478518</v>
      </c>
      <c r="H57" s="167">
        <f t="shared" si="26"/>
        <v>-5.9819176188926071E-2</v>
      </c>
      <c r="I57" s="167">
        <f t="shared" si="26"/>
        <v>9.5796104456841169E-2</v>
      </c>
      <c r="J57" s="167">
        <f t="shared" si="26"/>
        <v>-0.10576667218744129</v>
      </c>
      <c r="K57" s="168">
        <f>(K55/K56)-1</f>
        <v>-3.960252714466328E-2</v>
      </c>
      <c r="L57" s="167">
        <f>(L55/L56)-1</f>
        <v>-0.12229929173061416</v>
      </c>
      <c r="M57" s="167">
        <f>(M55/M56)-1</f>
        <v>-2.7847777926414241E-2</v>
      </c>
      <c r="N57" s="167">
        <f>(N55/N56)-1</f>
        <v>3.5695940494604894E-2</v>
      </c>
      <c r="O57" s="167">
        <f>(O55/O56)-1</f>
        <v>-0.1077123756773517</v>
      </c>
    </row>
    <row r="58" spans="1:16" x14ac:dyDescent="0.25">
      <c r="B58" s="226"/>
      <c r="C58" s="184" t="s">
        <v>193</v>
      </c>
      <c r="D58" s="185">
        <f t="shared" ref="D58:O58" si="27">(D59/D60)-1</f>
        <v>0.19777030020952679</v>
      </c>
      <c r="E58" s="185">
        <f t="shared" si="27"/>
        <v>0.16807091592172729</v>
      </c>
      <c r="F58" s="185">
        <f t="shared" si="27"/>
        <v>0.12097161074192386</v>
      </c>
      <c r="G58" s="185">
        <f t="shared" si="27"/>
        <v>0.127878216370376</v>
      </c>
      <c r="H58" s="185">
        <f t="shared" si="27"/>
        <v>8.2303060133838146E-2</v>
      </c>
      <c r="I58" s="185">
        <f t="shared" si="27"/>
        <v>8.4742014359567852E-2</v>
      </c>
      <c r="J58" s="185">
        <f t="shared" si="27"/>
        <v>5.1021020995497546E-2</v>
      </c>
      <c r="K58" s="186">
        <f t="shared" si="27"/>
        <v>3.8621238173230488E-2</v>
      </c>
      <c r="L58" s="185">
        <f t="shared" si="27"/>
        <v>1.7888741176396827E-2</v>
      </c>
      <c r="M58" s="185">
        <f t="shared" si="27"/>
        <v>1.302624939199859E-2</v>
      </c>
      <c r="N58" s="185">
        <f t="shared" si="27"/>
        <v>1.5054302125083519E-2</v>
      </c>
      <c r="O58" s="185">
        <f t="shared" si="27"/>
        <v>4.1186005194002728E-3</v>
      </c>
    </row>
    <row r="59" spans="1:16" x14ac:dyDescent="0.25">
      <c r="B59" s="226"/>
      <c r="C59" s="166" t="s">
        <v>194</v>
      </c>
      <c r="D59" s="172">
        <f>D55</f>
        <v>6445508.9500000002</v>
      </c>
      <c r="E59" s="172">
        <f t="shared" ref="E59:J59" si="28">D59+E55</f>
        <v>12559628.359999999</v>
      </c>
      <c r="F59" s="172">
        <f t="shared" si="28"/>
        <v>18051205.93</v>
      </c>
      <c r="G59" s="172">
        <f t="shared" si="28"/>
        <v>24680227.949999999</v>
      </c>
      <c r="H59" s="172">
        <f t="shared" si="28"/>
        <v>31277501.32</v>
      </c>
      <c r="I59" s="172">
        <f t="shared" si="28"/>
        <v>38264546.740000002</v>
      </c>
      <c r="J59" s="172">
        <f t="shared" si="28"/>
        <v>45048914.050000004</v>
      </c>
      <c r="K59" s="172">
        <f>J59+K55</f>
        <v>51574196.190000005</v>
      </c>
      <c r="L59" s="172">
        <f>K59+L55</f>
        <v>58019781.890000008</v>
      </c>
      <c r="M59" s="172">
        <f>L59+M55</f>
        <v>64611847.24000001</v>
      </c>
      <c r="N59" s="172">
        <f>M59+N55</f>
        <v>71102058.160000011</v>
      </c>
      <c r="O59" s="172">
        <f>N59+O55</f>
        <v>77214043.460000008</v>
      </c>
    </row>
    <row r="60" spans="1:16" ht="15.75" thickBot="1" x14ac:dyDescent="0.3">
      <c r="B60" s="231"/>
      <c r="C60" s="232" t="s">
        <v>195</v>
      </c>
      <c r="D60" s="181">
        <f>D56</f>
        <v>5381256.2799999993</v>
      </c>
      <c r="E60" s="181">
        <f>+D60+E56</f>
        <v>10752453.629999999</v>
      </c>
      <c r="F60" s="181">
        <f t="shared" ref="F60:O60" si="29">+E60+F56</f>
        <v>16103178.489999998</v>
      </c>
      <c r="G60" s="181">
        <f t="shared" si="29"/>
        <v>21881997.18</v>
      </c>
      <c r="H60" s="181">
        <f t="shared" si="29"/>
        <v>28899023.27</v>
      </c>
      <c r="I60" s="181">
        <f t="shared" si="29"/>
        <v>35275250.920000002</v>
      </c>
      <c r="J60" s="181">
        <f t="shared" si="29"/>
        <v>42862048.57</v>
      </c>
      <c r="K60" s="181">
        <f t="shared" si="29"/>
        <v>49656404.369999997</v>
      </c>
      <c r="L60" s="181">
        <f t="shared" si="29"/>
        <v>57000121.469999999</v>
      </c>
      <c r="M60" s="181">
        <f t="shared" si="29"/>
        <v>63781019.769999996</v>
      </c>
      <c r="N60" s="181">
        <f t="shared" si="29"/>
        <v>70047541.310000002</v>
      </c>
      <c r="O60" s="181">
        <f t="shared" si="29"/>
        <v>76897334.060000002</v>
      </c>
    </row>
    <row r="61" spans="1:16" ht="15" customHeight="1" x14ac:dyDescent="0.25">
      <c r="A61" s="223" t="s">
        <v>207</v>
      </c>
      <c r="B61" s="224" t="s">
        <v>209</v>
      </c>
      <c r="C61" s="176" t="s">
        <v>190</v>
      </c>
      <c r="D61" s="233">
        <f>+PIGOO!B97+PIGOO!B98</f>
        <v>106742.38</v>
      </c>
      <c r="E61" s="233">
        <f>+PIGOO!C97+PIGOO!C98</f>
        <v>67275.95</v>
      </c>
      <c r="F61" s="233">
        <f>+PIGOO!D97+PIGOO!D98</f>
        <v>61739.130000000005</v>
      </c>
      <c r="G61" s="233">
        <f>+PIGOO!E97+PIGOO!E98</f>
        <v>99762.78</v>
      </c>
      <c r="H61" s="233">
        <f>+PIGOO!F97+PIGOO!F98</f>
        <v>113362.87</v>
      </c>
      <c r="I61" s="233">
        <f>+PIGOO!G97+PIGOO!G98</f>
        <v>106184.39000000001</v>
      </c>
      <c r="J61" s="233">
        <f>+PIGOO!H97+PIGOO!H98</f>
        <v>94266.29</v>
      </c>
      <c r="K61" s="233">
        <f>+PIGOO!I97+PIGOO!I98</f>
        <v>67531.63</v>
      </c>
      <c r="L61" s="233">
        <f>+PIGOO!J97+PIGOO!J98</f>
        <v>103227.11</v>
      </c>
      <c r="M61" s="233">
        <f>+PIGOO!K97+PIGOO!K98</f>
        <v>96064.39</v>
      </c>
      <c r="N61" s="233">
        <f>+PIGOO!L97+PIGOO!L98</f>
        <v>110263.78</v>
      </c>
      <c r="O61" s="233">
        <f>+PIGOO!M97+PIGOO!M98</f>
        <v>80650.040000000008</v>
      </c>
      <c r="P61" s="157">
        <v>6</v>
      </c>
    </row>
    <row r="62" spans="1:16" ht="15.75" thickBot="1" x14ac:dyDescent="0.3">
      <c r="A62" s="225"/>
      <c r="B62" s="226"/>
      <c r="C62" s="227" t="s">
        <v>191</v>
      </c>
      <c r="D62" s="228">
        <v>181142.9</v>
      </c>
      <c r="E62" s="229">
        <v>127857.59</v>
      </c>
      <c r="F62" s="229">
        <v>222864.75</v>
      </c>
      <c r="G62" s="229">
        <v>175572.07</v>
      </c>
      <c r="H62" s="229">
        <v>177581.55000000002</v>
      </c>
      <c r="I62" s="229">
        <v>150470.35</v>
      </c>
      <c r="J62" s="229">
        <v>171081.07</v>
      </c>
      <c r="K62" s="230">
        <v>232664.31</v>
      </c>
      <c r="L62" s="229">
        <v>248707.69</v>
      </c>
      <c r="M62" s="229">
        <v>244001.43</v>
      </c>
      <c r="N62" s="229">
        <v>139712.48000000001</v>
      </c>
      <c r="O62" s="229">
        <v>89567.86</v>
      </c>
    </row>
    <row r="63" spans="1:16" x14ac:dyDescent="0.25">
      <c r="B63" s="226"/>
      <c r="C63" s="166" t="s">
        <v>192</v>
      </c>
      <c r="D63" s="167">
        <f>(D61/D62)-1</f>
        <v>-0.41072832553746241</v>
      </c>
      <c r="E63" s="167">
        <f t="shared" ref="E63:J63" si="30">(E61/E62)-1</f>
        <v>-0.47382122563079754</v>
      </c>
      <c r="F63" s="167">
        <f t="shared" si="30"/>
        <v>-0.72297489845298546</v>
      </c>
      <c r="G63" s="167">
        <f t="shared" si="30"/>
        <v>-0.43178445182083913</v>
      </c>
      <c r="H63" s="167">
        <f t="shared" si="30"/>
        <v>-0.36162923456856877</v>
      </c>
      <c r="I63" s="167">
        <f t="shared" si="30"/>
        <v>-0.29431685378547989</v>
      </c>
      <c r="J63" s="167">
        <f t="shared" si="30"/>
        <v>-0.44899637347369881</v>
      </c>
      <c r="K63" s="168">
        <f>(K61/K62)-1</f>
        <v>-0.70974650130052175</v>
      </c>
      <c r="L63" s="167">
        <f>(L61/L62)-1</f>
        <v>-0.58494604650141691</v>
      </c>
      <c r="M63" s="167">
        <f>(M61/M62)-1</f>
        <v>-0.60629579097138897</v>
      </c>
      <c r="N63" s="167">
        <f>(N61/N62)-1</f>
        <v>-0.21078074056090057</v>
      </c>
      <c r="O63" s="167">
        <f>(O61/O62)-1</f>
        <v>-9.9564955554369505E-2</v>
      </c>
    </row>
    <row r="64" spans="1:16" x14ac:dyDescent="0.25">
      <c r="B64" s="226"/>
      <c r="C64" s="184" t="s">
        <v>193</v>
      </c>
      <c r="D64" s="185">
        <f>(D65/D66)-1</f>
        <v>-0.41072832553746241</v>
      </c>
      <c r="E64" s="185">
        <f t="shared" ref="E64:J64" si="31">(E65/E66)-1</f>
        <v>-0.43683477654032188</v>
      </c>
      <c r="F64" s="185">
        <f t="shared" si="31"/>
        <v>-0.55673459690653959</v>
      </c>
      <c r="G64" s="185">
        <f t="shared" si="31"/>
        <v>-0.52572442072641046</v>
      </c>
      <c r="H64" s="185">
        <f t="shared" si="31"/>
        <v>-0.49279825516938713</v>
      </c>
      <c r="I64" s="185">
        <f t="shared" si="31"/>
        <v>-0.4639562685544546</v>
      </c>
      <c r="J64" s="185">
        <f t="shared" si="31"/>
        <v>-0.46183508680488961</v>
      </c>
      <c r="K64" s="186">
        <f>(K65/K66)-1</f>
        <v>-0.50191204062153627</v>
      </c>
      <c r="L64" s="185">
        <f>(L65/L66)-1</f>
        <v>-0.51414657970413535</v>
      </c>
      <c r="M64" s="185">
        <f>(M65/M66)-1</f>
        <v>-0.52578487910499216</v>
      </c>
      <c r="N64" s="185">
        <f>(N65/N66)-1</f>
        <v>-0.5045410020472556</v>
      </c>
      <c r="O64" s="185">
        <f>(O65/O66)-1</f>
        <v>-0.48775753258899734</v>
      </c>
    </row>
    <row r="65" spans="1:16" x14ac:dyDescent="0.25">
      <c r="B65" s="226"/>
      <c r="C65" s="166" t="s">
        <v>194</v>
      </c>
      <c r="D65" s="172">
        <f>D61</f>
        <v>106742.38</v>
      </c>
      <c r="E65" s="172">
        <f t="shared" ref="E65:O66" si="32">D65+E61</f>
        <v>174018.33000000002</v>
      </c>
      <c r="F65" s="172">
        <f t="shared" si="32"/>
        <v>235757.46000000002</v>
      </c>
      <c r="G65" s="172">
        <f t="shared" si="32"/>
        <v>335520.24</v>
      </c>
      <c r="H65" s="172">
        <f t="shared" si="32"/>
        <v>448883.11</v>
      </c>
      <c r="I65" s="172">
        <f t="shared" si="32"/>
        <v>555067.5</v>
      </c>
      <c r="J65" s="172">
        <f t="shared" si="32"/>
        <v>649333.79</v>
      </c>
      <c r="K65" s="172">
        <f t="shared" si="32"/>
        <v>716865.42</v>
      </c>
      <c r="L65" s="172">
        <f t="shared" si="32"/>
        <v>820092.53</v>
      </c>
      <c r="M65" s="172">
        <f t="shared" si="32"/>
        <v>916156.92</v>
      </c>
      <c r="N65" s="172">
        <f t="shared" si="32"/>
        <v>1026420.7000000001</v>
      </c>
      <c r="O65" s="172">
        <f t="shared" si="32"/>
        <v>1107070.74</v>
      </c>
    </row>
    <row r="66" spans="1:16" ht="15.75" thickBot="1" x14ac:dyDescent="0.3">
      <c r="B66" s="231"/>
      <c r="C66" s="232" t="s">
        <v>195</v>
      </c>
      <c r="D66" s="181">
        <f>D62</f>
        <v>181142.9</v>
      </c>
      <c r="E66" s="181">
        <f t="shared" si="32"/>
        <v>309000.49</v>
      </c>
      <c r="F66" s="181">
        <f t="shared" si="32"/>
        <v>531865.24</v>
      </c>
      <c r="G66" s="181">
        <f t="shared" si="32"/>
        <v>707437.31</v>
      </c>
      <c r="H66" s="181">
        <f t="shared" si="32"/>
        <v>885018.8600000001</v>
      </c>
      <c r="I66" s="181">
        <f t="shared" si="32"/>
        <v>1035489.2100000001</v>
      </c>
      <c r="J66" s="181">
        <f t="shared" si="32"/>
        <v>1206570.28</v>
      </c>
      <c r="K66" s="181">
        <f t="shared" si="32"/>
        <v>1439234.59</v>
      </c>
      <c r="L66" s="181">
        <f t="shared" si="32"/>
        <v>1687942.28</v>
      </c>
      <c r="M66" s="181">
        <f t="shared" si="32"/>
        <v>1931943.71</v>
      </c>
      <c r="N66" s="181">
        <f t="shared" si="32"/>
        <v>2071656.19</v>
      </c>
      <c r="O66" s="181">
        <f t="shared" si="32"/>
        <v>2161224.0499999998</v>
      </c>
    </row>
    <row r="67" spans="1:16" ht="15" customHeight="1" x14ac:dyDescent="0.25">
      <c r="A67" s="223" t="s">
        <v>207</v>
      </c>
      <c r="B67" s="205" t="s">
        <v>210</v>
      </c>
      <c r="C67" s="234" t="s">
        <v>190</v>
      </c>
      <c r="D67" s="235">
        <v>2922004.71</v>
      </c>
      <c r="E67" s="235">
        <v>3247558.37</v>
      </c>
      <c r="F67" s="190">
        <v>3421458.57</v>
      </c>
      <c r="G67" s="236">
        <v>3379125.91</v>
      </c>
      <c r="H67" s="190">
        <v>3166037.93</v>
      </c>
      <c r="I67" s="190">
        <v>3882741.78</v>
      </c>
      <c r="J67" s="190">
        <v>4141106.72</v>
      </c>
      <c r="K67" s="237">
        <v>3505610.47</v>
      </c>
      <c r="L67" s="190">
        <v>3456944.41</v>
      </c>
      <c r="M67" s="190">
        <v>3434744.91</v>
      </c>
      <c r="N67" s="190">
        <v>3443290.21</v>
      </c>
      <c r="O67" s="190">
        <v>3496498.96</v>
      </c>
    </row>
    <row r="68" spans="1:16" ht="15.75" thickBot="1" x14ac:dyDescent="0.3">
      <c r="A68" s="225"/>
      <c r="B68" s="208"/>
      <c r="C68" s="238" t="s">
        <v>191</v>
      </c>
      <c r="D68" s="239">
        <v>2838394.65</v>
      </c>
      <c r="E68" s="240">
        <v>2562080.84</v>
      </c>
      <c r="F68" s="241">
        <v>2775873.08</v>
      </c>
      <c r="G68" s="241">
        <v>2534887.0699999998</v>
      </c>
      <c r="H68" s="241">
        <v>3359979.85</v>
      </c>
      <c r="I68" s="241">
        <v>3543976.81</v>
      </c>
      <c r="J68" s="241">
        <v>3593041.79</v>
      </c>
      <c r="K68" s="242">
        <v>3314099.5</v>
      </c>
      <c r="L68" s="241">
        <v>3289045.16</v>
      </c>
      <c r="M68" s="241">
        <v>3813582.5</v>
      </c>
      <c r="N68" s="241">
        <v>3068974.81</v>
      </c>
      <c r="O68" s="241">
        <v>3019439.8</v>
      </c>
    </row>
    <row r="69" spans="1:16" x14ac:dyDescent="0.25">
      <c r="B69" s="208"/>
      <c r="C69" s="243" t="s">
        <v>192</v>
      </c>
      <c r="D69" s="244">
        <f>(D67/D68)-1</f>
        <v>2.9456812850179315E-2</v>
      </c>
      <c r="E69" s="167">
        <f t="shared" ref="E69:O69" si="33">(E67/E68)-1</f>
        <v>0.26754719027522977</v>
      </c>
      <c r="F69" s="167">
        <f t="shared" si="33"/>
        <v>0.23257024777227908</v>
      </c>
      <c r="G69" s="167">
        <f t="shared" si="33"/>
        <v>0.33304790970431686</v>
      </c>
      <c r="H69" s="167">
        <f t="shared" si="33"/>
        <v>-5.7721155678954417E-2</v>
      </c>
      <c r="I69" s="167">
        <f t="shared" si="33"/>
        <v>9.5588935301187838E-2</v>
      </c>
      <c r="J69" s="167">
        <f t="shared" si="33"/>
        <v>0.15253508365122581</v>
      </c>
      <c r="K69" s="168">
        <f>(K67/K68)-1</f>
        <v>5.7786729094887024E-2</v>
      </c>
      <c r="L69" s="167">
        <f t="shared" si="33"/>
        <v>5.1048022095263601E-2</v>
      </c>
      <c r="M69" s="167">
        <f t="shared" si="33"/>
        <v>-9.9339030950556295E-2</v>
      </c>
      <c r="N69" s="167">
        <f t="shared" si="33"/>
        <v>0.12196757001078162</v>
      </c>
      <c r="O69" s="167">
        <f t="shared" si="33"/>
        <v>0.15799591699095972</v>
      </c>
    </row>
    <row r="70" spans="1:16" x14ac:dyDescent="0.25">
      <c r="B70" s="208"/>
      <c r="C70" s="245" t="s">
        <v>193</v>
      </c>
      <c r="D70" s="213">
        <f>(D71/D72)-1</f>
        <v>2.9456812850179315E-2</v>
      </c>
      <c r="E70" s="246">
        <f t="shared" ref="E70:O70" si="34">(E71/E72)-1</f>
        <v>0.14241108795403501</v>
      </c>
      <c r="F70" s="246">
        <f t="shared" si="34"/>
        <v>0.17302015293117567</v>
      </c>
      <c r="G70" s="246">
        <f t="shared" si="34"/>
        <v>0.2108918145320533</v>
      </c>
      <c r="H70" s="246">
        <f t="shared" si="34"/>
        <v>0.14675135928857852</v>
      </c>
      <c r="I70" s="246">
        <f t="shared" si="34"/>
        <v>0.13645806012574724</v>
      </c>
      <c r="J70" s="246">
        <f t="shared" si="34"/>
        <v>0.13918178606826181</v>
      </c>
      <c r="K70" s="247">
        <f>(K71/K72)-1</f>
        <v>0.1281815557423871</v>
      </c>
      <c r="L70" s="246">
        <f t="shared" si="34"/>
        <v>0.1190595457264052</v>
      </c>
      <c r="M70" s="246">
        <f t="shared" si="34"/>
        <v>9.2723355668933971E-2</v>
      </c>
      <c r="N70" s="246">
        <f t="shared" si="34"/>
        <v>9.5310256071302613E-2</v>
      </c>
      <c r="O70" s="246">
        <f t="shared" si="34"/>
        <v>0.10032904781704155</v>
      </c>
    </row>
    <row r="71" spans="1:16" x14ac:dyDescent="0.25">
      <c r="B71" s="208"/>
      <c r="C71" s="243" t="s">
        <v>194</v>
      </c>
      <c r="D71" s="155">
        <f>D67</f>
        <v>2922004.71</v>
      </c>
      <c r="E71" s="172">
        <f t="shared" ref="E71:O72" si="35">D71+E67</f>
        <v>6169563.0800000001</v>
      </c>
      <c r="F71" s="172">
        <f t="shared" si="35"/>
        <v>9591021.6500000004</v>
      </c>
      <c r="G71" s="172">
        <f t="shared" si="35"/>
        <v>12970147.560000001</v>
      </c>
      <c r="H71" s="172">
        <f t="shared" si="35"/>
        <v>16136185.49</v>
      </c>
      <c r="I71" s="172">
        <f t="shared" si="35"/>
        <v>20018927.27</v>
      </c>
      <c r="J71" s="172">
        <f t="shared" si="35"/>
        <v>24160033.989999998</v>
      </c>
      <c r="K71" s="172">
        <f t="shared" si="35"/>
        <v>27665644.459999997</v>
      </c>
      <c r="L71" s="172">
        <f t="shared" si="35"/>
        <v>31122588.869999997</v>
      </c>
      <c r="M71" s="172">
        <f t="shared" si="35"/>
        <v>34557333.780000001</v>
      </c>
      <c r="N71" s="172">
        <f t="shared" si="35"/>
        <v>38000623.990000002</v>
      </c>
      <c r="O71" s="172">
        <f t="shared" si="35"/>
        <v>41497122.950000003</v>
      </c>
    </row>
    <row r="72" spans="1:16" ht="15.75" thickBot="1" x14ac:dyDescent="0.3">
      <c r="B72" s="248"/>
      <c r="C72" s="249" t="s">
        <v>195</v>
      </c>
      <c r="D72" s="250">
        <f>D68</f>
        <v>2838394.65</v>
      </c>
      <c r="E72" s="241">
        <f t="shared" si="35"/>
        <v>5400475.4900000002</v>
      </c>
      <c r="F72" s="241">
        <f t="shared" si="35"/>
        <v>8176348.5700000003</v>
      </c>
      <c r="G72" s="241">
        <f t="shared" si="35"/>
        <v>10711235.640000001</v>
      </c>
      <c r="H72" s="241">
        <f t="shared" si="35"/>
        <v>14071215.49</v>
      </c>
      <c r="I72" s="241">
        <f t="shared" si="35"/>
        <v>17615192.300000001</v>
      </c>
      <c r="J72" s="241">
        <f t="shared" si="35"/>
        <v>21208234.09</v>
      </c>
      <c r="K72" s="241">
        <f t="shared" si="35"/>
        <v>24522333.59</v>
      </c>
      <c r="L72" s="241">
        <f t="shared" si="35"/>
        <v>27811378.75</v>
      </c>
      <c r="M72" s="241">
        <f t="shared" si="35"/>
        <v>31624961.25</v>
      </c>
      <c r="N72" s="241">
        <f t="shared" si="35"/>
        <v>34693936.060000002</v>
      </c>
      <c r="O72" s="241">
        <f t="shared" si="35"/>
        <v>37713375.859999999</v>
      </c>
    </row>
    <row r="73" spans="1:16" x14ac:dyDescent="0.25">
      <c r="B73" s="205" t="s">
        <v>211</v>
      </c>
      <c r="C73" s="234" t="s">
        <v>190</v>
      </c>
      <c r="D73" s="233">
        <v>2187730.61</v>
      </c>
      <c r="E73" s="235">
        <v>2178874.2599999998</v>
      </c>
      <c r="F73" s="190">
        <v>2811653.26</v>
      </c>
      <c r="G73" s="236">
        <v>2580132.81</v>
      </c>
      <c r="H73" s="190">
        <v>2119848.7400000002</v>
      </c>
      <c r="I73" s="190">
        <v>2843041.6</v>
      </c>
      <c r="J73" s="190">
        <v>2681619.1100000003</v>
      </c>
      <c r="K73" s="237">
        <v>2791508.75</v>
      </c>
      <c r="L73" s="190">
        <v>2515142.6700000004</v>
      </c>
      <c r="M73" s="190">
        <v>2328718.92</v>
      </c>
      <c r="N73" s="190">
        <v>2806547.36</v>
      </c>
      <c r="O73" s="190">
        <v>2998058.66</v>
      </c>
    </row>
    <row r="74" spans="1:16" x14ac:dyDescent="0.25">
      <c r="B74" s="208"/>
      <c r="C74" s="238" t="s">
        <v>191</v>
      </c>
      <c r="D74" s="239">
        <v>2740749.26</v>
      </c>
      <c r="E74" s="240">
        <v>1989614.29</v>
      </c>
      <c r="F74" s="241">
        <v>1906485.41</v>
      </c>
      <c r="G74" s="241">
        <v>1413023.22</v>
      </c>
      <c r="H74" s="241">
        <v>2246976</v>
      </c>
      <c r="I74" s="241">
        <v>2176665.86</v>
      </c>
      <c r="J74" s="241">
        <v>2750540.26</v>
      </c>
      <c r="K74" s="242">
        <v>2290315.0699999998</v>
      </c>
      <c r="L74" s="241">
        <v>2316670.91</v>
      </c>
      <c r="M74" s="241">
        <v>2482635.59</v>
      </c>
      <c r="N74" s="241">
        <v>1877807.73</v>
      </c>
      <c r="O74" s="241">
        <v>2776589.42</v>
      </c>
    </row>
    <row r="75" spans="1:16" x14ac:dyDescent="0.25">
      <c r="B75" s="208"/>
      <c r="C75" s="243" t="s">
        <v>192</v>
      </c>
      <c r="D75" s="244">
        <f>(D73/D74)-1</f>
        <v>-0.20177644780245241</v>
      </c>
      <c r="E75" s="167">
        <f t="shared" ref="E75:J75" si="36">(E73/E74)-1</f>
        <v>9.5123949878747505E-2</v>
      </c>
      <c r="F75" s="167">
        <f t="shared" si="36"/>
        <v>0.47478351801286522</v>
      </c>
      <c r="G75" s="167">
        <f t="shared" si="36"/>
        <v>0.82596632063838271</v>
      </c>
      <c r="H75" s="167">
        <f t="shared" si="36"/>
        <v>-5.6577043991569043E-2</v>
      </c>
      <c r="I75" s="167">
        <f t="shared" si="36"/>
        <v>0.30614517011811837</v>
      </c>
      <c r="J75" s="167">
        <f t="shared" si="36"/>
        <v>-2.5057313649355373E-2</v>
      </c>
      <c r="K75" s="168">
        <f>(K73/K74)-1</f>
        <v>0.21883176099435087</v>
      </c>
      <c r="L75" s="167">
        <f>(L73/L74)-1</f>
        <v>8.5671106389469953E-2</v>
      </c>
      <c r="M75" s="167">
        <f>(M73/M74)-1</f>
        <v>-6.1997286520813932E-2</v>
      </c>
      <c r="N75" s="167">
        <f>(N73/N74)-1</f>
        <v>0.49458718012626335</v>
      </c>
      <c r="O75" s="167">
        <f>(O73/O74)-1</f>
        <v>7.9763049734591362E-2</v>
      </c>
    </row>
    <row r="76" spans="1:16" x14ac:dyDescent="0.25">
      <c r="B76" s="208"/>
      <c r="C76" s="245" t="s">
        <v>193</v>
      </c>
      <c r="D76" s="213">
        <f>(D77/D78)-1</f>
        <v>-0.20177644780245241</v>
      </c>
      <c r="E76" s="246">
        <f t="shared" ref="E76:J76" si="37">(E77/E78)-1</f>
        <v>-7.6898673041737031E-2</v>
      </c>
      <c r="F76" s="246">
        <f t="shared" si="37"/>
        <v>8.1576237950124808E-2</v>
      </c>
      <c r="G76" s="246">
        <f t="shared" si="37"/>
        <v>0.212241725308985</v>
      </c>
      <c r="H76" s="246">
        <f t="shared" si="37"/>
        <v>0.15358015116427604</v>
      </c>
      <c r="I76" s="246">
        <f t="shared" si="37"/>
        <v>0.18020320759586039</v>
      </c>
      <c r="J76" s="246">
        <f t="shared" si="37"/>
        <v>0.14311864941259445</v>
      </c>
      <c r="K76" s="247">
        <f>(K77/K78)-1</f>
        <v>0.15301948436639612</v>
      </c>
      <c r="L76" s="246">
        <f>(L77/L78)-1</f>
        <v>0.14515181701804325</v>
      </c>
      <c r="M76" s="246">
        <f>(M77/M78)-1</f>
        <v>0.12210425910430711</v>
      </c>
      <c r="N76" s="246">
        <f>(N77/N78)-1</f>
        <v>0.15101738076121984</v>
      </c>
      <c r="O76" s="246">
        <f>(O77/O78)-1</f>
        <v>0.14368114945129329</v>
      </c>
    </row>
    <row r="77" spans="1:16" x14ac:dyDescent="0.25">
      <c r="B77" s="208"/>
      <c r="C77" s="243" t="s">
        <v>194</v>
      </c>
      <c r="D77" s="155">
        <f>D73</f>
        <v>2187730.61</v>
      </c>
      <c r="E77" s="172">
        <f t="shared" ref="E77:O78" si="38">D77+E73</f>
        <v>4366604.8699999992</v>
      </c>
      <c r="F77" s="172">
        <f t="shared" si="38"/>
        <v>7178258.129999999</v>
      </c>
      <c r="G77" s="172">
        <f t="shared" si="38"/>
        <v>9758390.9399999995</v>
      </c>
      <c r="H77" s="172">
        <f t="shared" si="38"/>
        <v>11878239.68</v>
      </c>
      <c r="I77" s="172">
        <f t="shared" si="38"/>
        <v>14721281.279999999</v>
      </c>
      <c r="J77" s="172">
        <f t="shared" si="38"/>
        <v>17402900.390000001</v>
      </c>
      <c r="K77" s="172">
        <f t="shared" si="38"/>
        <v>20194409.140000001</v>
      </c>
      <c r="L77" s="172">
        <f t="shared" si="38"/>
        <v>22709551.810000002</v>
      </c>
      <c r="M77" s="172">
        <f t="shared" si="38"/>
        <v>25038270.730000004</v>
      </c>
      <c r="N77" s="172">
        <f t="shared" si="38"/>
        <v>27844818.090000004</v>
      </c>
      <c r="O77" s="172">
        <f t="shared" si="38"/>
        <v>30842876.750000004</v>
      </c>
    </row>
    <row r="78" spans="1:16" ht="15.75" thickBot="1" x14ac:dyDescent="0.3">
      <c r="B78" s="248"/>
      <c r="C78" s="249" t="s">
        <v>195</v>
      </c>
      <c r="D78" s="250">
        <f>D74</f>
        <v>2740749.26</v>
      </c>
      <c r="E78" s="241">
        <f t="shared" si="38"/>
        <v>4730363.55</v>
      </c>
      <c r="F78" s="241">
        <f t="shared" si="38"/>
        <v>6636848.96</v>
      </c>
      <c r="G78" s="241">
        <f t="shared" si="38"/>
        <v>8049872.1799999997</v>
      </c>
      <c r="H78" s="241">
        <f t="shared" si="38"/>
        <v>10296848.18</v>
      </c>
      <c r="I78" s="241">
        <f t="shared" si="38"/>
        <v>12473514.039999999</v>
      </c>
      <c r="J78" s="241">
        <f t="shared" si="38"/>
        <v>15224054.299999999</v>
      </c>
      <c r="K78" s="241">
        <f t="shared" si="38"/>
        <v>17514369.369999997</v>
      </c>
      <c r="L78" s="241">
        <f t="shared" si="38"/>
        <v>19831040.279999997</v>
      </c>
      <c r="M78" s="241">
        <f t="shared" si="38"/>
        <v>22313675.869999997</v>
      </c>
      <c r="N78" s="241">
        <f t="shared" si="38"/>
        <v>24191483.599999998</v>
      </c>
      <c r="O78" s="241">
        <f t="shared" si="38"/>
        <v>26968073.019999996</v>
      </c>
    </row>
    <row r="79" spans="1:16" x14ac:dyDescent="0.25">
      <c r="A79" s="223" t="s">
        <v>207</v>
      </c>
      <c r="B79" s="205" t="s">
        <v>212</v>
      </c>
      <c r="C79" s="251" t="s">
        <v>190</v>
      </c>
      <c r="D79" s="233">
        <f>+PIGOO!B104+PIGOO!B105</f>
        <v>2016.61</v>
      </c>
      <c r="E79" s="233">
        <f>+PIGOO!C104+PIGOO!C105</f>
        <v>40489.14</v>
      </c>
      <c r="F79" s="233">
        <f>+PIGOO!D104+PIGOO!D105</f>
        <v>12037</v>
      </c>
      <c r="G79" s="233">
        <f>+PIGOO!E104+PIGOO!E105</f>
        <v>16649</v>
      </c>
      <c r="H79" s="233">
        <f>+PIGOO!F104+PIGOO!F105</f>
        <v>2574</v>
      </c>
      <c r="I79" s="233">
        <f>+PIGOO!G104+PIGOO!G105</f>
        <v>28710</v>
      </c>
      <c r="J79" s="233">
        <f>+PIGOO!H104+PIGOO!H105</f>
        <v>4586</v>
      </c>
      <c r="K79" s="233">
        <f>+PIGOO!I104+PIGOO!I105</f>
        <v>38717</v>
      </c>
      <c r="L79" s="233">
        <f>+PIGOO!J104+PIGOO!J105</f>
        <v>10868</v>
      </c>
      <c r="M79" s="233">
        <f>+PIGOO!K104+PIGOO!K105</f>
        <v>18330</v>
      </c>
      <c r="N79" s="233">
        <f>+PIGOO!L104+PIGOO!L105</f>
        <v>4482</v>
      </c>
      <c r="O79" s="233">
        <f>+PIGOO!M104+PIGOO!M105</f>
        <v>29557</v>
      </c>
      <c r="P79" s="157">
        <v>7</v>
      </c>
    </row>
    <row r="80" spans="1:16" ht="15.75" thickBot="1" x14ac:dyDescent="0.3">
      <c r="A80" s="225"/>
      <c r="B80" s="208"/>
      <c r="C80" s="238" t="s">
        <v>191</v>
      </c>
      <c r="D80" s="239">
        <v>12140</v>
      </c>
      <c r="E80" s="240">
        <v>25261</v>
      </c>
      <c r="F80" s="241">
        <v>29203.8</v>
      </c>
      <c r="G80" s="241">
        <v>28052.289999999997</v>
      </c>
      <c r="H80" s="241">
        <v>29076</v>
      </c>
      <c r="I80" s="241">
        <v>9844</v>
      </c>
      <c r="J80" s="241">
        <v>3055</v>
      </c>
      <c r="K80" s="241">
        <v>32995</v>
      </c>
      <c r="L80" s="241">
        <v>65287</v>
      </c>
      <c r="M80" s="241">
        <v>30909.72</v>
      </c>
      <c r="N80" s="241">
        <v>7118</v>
      </c>
      <c r="O80" s="241">
        <v>26436</v>
      </c>
    </row>
    <row r="81" spans="1:15" x14ac:dyDescent="0.25">
      <c r="B81" s="208"/>
      <c r="C81" s="243" t="s">
        <v>192</v>
      </c>
      <c r="D81" s="244">
        <f>(D79/D80)-1</f>
        <v>-0.83388714991762769</v>
      </c>
      <c r="E81" s="167">
        <f t="shared" ref="E81:J81" si="39">(E79/E80)-1</f>
        <v>0.60283203356953408</v>
      </c>
      <c r="F81" s="167">
        <f t="shared" si="39"/>
        <v>-0.587827611475219</v>
      </c>
      <c r="G81" s="167">
        <f t="shared" si="39"/>
        <v>-0.40650121612174972</v>
      </c>
      <c r="H81" s="167">
        <f t="shared" si="39"/>
        <v>-0.91147338010730494</v>
      </c>
      <c r="I81" s="167">
        <f t="shared" si="39"/>
        <v>1.9164973587972369</v>
      </c>
      <c r="J81" s="167">
        <f t="shared" si="39"/>
        <v>0.50114566284779061</v>
      </c>
      <c r="K81" s="168">
        <f>(K79/K80)-1</f>
        <v>0.17342021518411888</v>
      </c>
      <c r="L81" s="167">
        <f>(L79/L80)-1</f>
        <v>-0.83353500696922822</v>
      </c>
      <c r="M81" s="167">
        <f>(M79/M80)-1</f>
        <v>-0.40698265788237487</v>
      </c>
      <c r="N81" s="167">
        <f>(N79/N80)-1</f>
        <v>-0.37032874402922167</v>
      </c>
      <c r="O81" s="167">
        <f>(O79/O80)-1</f>
        <v>0.11805870782266603</v>
      </c>
    </row>
    <row r="82" spans="1:15" x14ac:dyDescent="0.25">
      <c r="B82" s="208"/>
      <c r="C82" s="245" t="s">
        <v>193</v>
      </c>
      <c r="D82" s="213">
        <f>(D83/D84)-1</f>
        <v>-0.83388714991762769</v>
      </c>
      <c r="E82" s="246">
        <f t="shared" ref="E82:J82" si="40">(E83/E84)-1</f>
        <v>0.13648699232640848</v>
      </c>
      <c r="F82" s="246">
        <f t="shared" si="40"/>
        <v>-0.18109880969539738</v>
      </c>
      <c r="G82" s="246">
        <f t="shared" si="40"/>
        <v>-0.24789838774887329</v>
      </c>
      <c r="H82" s="246">
        <f t="shared" si="40"/>
        <v>-0.40383166701809514</v>
      </c>
      <c r="I82" s="246">
        <f t="shared" si="40"/>
        <v>-0.23283438799273137</v>
      </c>
      <c r="J82" s="246">
        <f t="shared" si="40"/>
        <v>-0.21642309650683089</v>
      </c>
      <c r="K82" s="247">
        <f>(K83/K84)-1</f>
        <v>-0.14059275555573114</v>
      </c>
      <c r="L82" s="246">
        <f>(L83/L84)-1</f>
        <v>-0.33317431065969694</v>
      </c>
      <c r="M82" s="246">
        <f>(M83/M84)-1</f>
        <v>-0.34175666957749196</v>
      </c>
      <c r="N82" s="246">
        <f>(N83/N84)-1</f>
        <v>-0.34250179552923754</v>
      </c>
      <c r="O82" s="246">
        <f>(O83/O84)-1</f>
        <v>-0.30183285795296588</v>
      </c>
    </row>
    <row r="83" spans="1:15" x14ac:dyDescent="0.25">
      <c r="B83" s="208"/>
      <c r="C83" s="243" t="s">
        <v>194</v>
      </c>
      <c r="D83" s="155">
        <f>D79</f>
        <v>2016.61</v>
      </c>
      <c r="E83" s="172">
        <f t="shared" ref="E83:O84" si="41">D83+E79</f>
        <v>42505.75</v>
      </c>
      <c r="F83" s="172">
        <f t="shared" si="41"/>
        <v>54542.75</v>
      </c>
      <c r="G83" s="172">
        <f t="shared" si="41"/>
        <v>71191.75</v>
      </c>
      <c r="H83" s="172">
        <f t="shared" si="41"/>
        <v>73765.75</v>
      </c>
      <c r="I83" s="172">
        <f t="shared" si="41"/>
        <v>102475.75</v>
      </c>
      <c r="J83" s="172">
        <f t="shared" si="41"/>
        <v>107061.75</v>
      </c>
      <c r="K83" s="172">
        <f t="shared" si="41"/>
        <v>145778.75</v>
      </c>
      <c r="L83" s="172">
        <f t="shared" si="41"/>
        <v>156646.75</v>
      </c>
      <c r="M83" s="172">
        <f t="shared" si="41"/>
        <v>174976.75</v>
      </c>
      <c r="N83" s="172">
        <f t="shared" si="41"/>
        <v>179458.75</v>
      </c>
      <c r="O83" s="172">
        <f t="shared" si="41"/>
        <v>209015.75</v>
      </c>
    </row>
    <row r="84" spans="1:15" ht="15.75" thickBot="1" x14ac:dyDescent="0.3">
      <c r="B84" s="248"/>
      <c r="C84" s="249" t="s">
        <v>195</v>
      </c>
      <c r="D84" s="250">
        <f>D80</f>
        <v>12140</v>
      </c>
      <c r="E84" s="241">
        <f t="shared" si="41"/>
        <v>37401</v>
      </c>
      <c r="F84" s="241">
        <f t="shared" si="41"/>
        <v>66604.800000000003</v>
      </c>
      <c r="G84" s="241">
        <f t="shared" si="41"/>
        <v>94657.09</v>
      </c>
      <c r="H84" s="241">
        <f t="shared" si="41"/>
        <v>123733.09</v>
      </c>
      <c r="I84" s="241">
        <f t="shared" si="41"/>
        <v>133577.09</v>
      </c>
      <c r="J84" s="241">
        <f t="shared" si="41"/>
        <v>136632.09</v>
      </c>
      <c r="K84" s="241">
        <f t="shared" si="41"/>
        <v>169627.09</v>
      </c>
      <c r="L84" s="241">
        <f t="shared" si="41"/>
        <v>234914.09</v>
      </c>
      <c r="M84" s="241">
        <f t="shared" si="41"/>
        <v>265823.81</v>
      </c>
      <c r="N84" s="241">
        <f t="shared" si="41"/>
        <v>272941.81</v>
      </c>
      <c r="O84" s="241">
        <f t="shared" si="41"/>
        <v>299377.81</v>
      </c>
    </row>
    <row r="85" spans="1:15" x14ac:dyDescent="0.25">
      <c r="B85" s="252" t="s">
        <v>213</v>
      </c>
      <c r="C85" s="253" t="s">
        <v>200</v>
      </c>
      <c r="D85" s="254">
        <f t="shared" ref="D85:O85" si="42">(D67/D55)</f>
        <v>0.45333964046392333</v>
      </c>
      <c r="E85" s="254">
        <f t="shared" si="42"/>
        <v>0.53115717116816996</v>
      </c>
      <c r="F85" s="254">
        <f t="shared" si="42"/>
        <v>0.62303746535260185</v>
      </c>
      <c r="G85" s="254">
        <f t="shared" si="42"/>
        <v>0.50974727490798111</v>
      </c>
      <c r="H85" s="254">
        <f t="shared" si="42"/>
        <v>0.47990097612098803</v>
      </c>
      <c r="I85" s="254">
        <f t="shared" si="42"/>
        <v>0.55570581649374762</v>
      </c>
      <c r="J85" s="254">
        <f t="shared" si="42"/>
        <v>0.61038952208500041</v>
      </c>
      <c r="K85" s="254">
        <f t="shared" si="42"/>
        <v>0.53723507961603645</v>
      </c>
      <c r="L85" s="254">
        <f t="shared" si="42"/>
        <v>0.53632742948402645</v>
      </c>
      <c r="M85" s="254">
        <f t="shared" si="42"/>
        <v>0.52104230277389474</v>
      </c>
      <c r="N85" s="254">
        <f t="shared" si="42"/>
        <v>0.53053594905356327</v>
      </c>
      <c r="O85" s="254">
        <f t="shared" si="42"/>
        <v>0.57207254081582948</v>
      </c>
    </row>
    <row r="86" spans="1:15" x14ac:dyDescent="0.25">
      <c r="B86" s="255"/>
      <c r="C86" s="251" t="s">
        <v>201</v>
      </c>
      <c r="D86" s="256">
        <f t="shared" ref="D86:O87" si="43">D71/D59</f>
        <v>0.45333964046392333</v>
      </c>
      <c r="E86" s="256">
        <f t="shared" si="43"/>
        <v>0.49122178643827324</v>
      </c>
      <c r="F86" s="256">
        <f t="shared" si="43"/>
        <v>0.5313230421941123</v>
      </c>
      <c r="G86" s="256">
        <f t="shared" si="43"/>
        <v>0.52552786733884282</v>
      </c>
      <c r="H86" s="256">
        <f t="shared" si="43"/>
        <v>0.51590391843999128</v>
      </c>
      <c r="I86" s="256">
        <f t="shared" si="43"/>
        <v>0.52317168176653539</v>
      </c>
      <c r="J86" s="256">
        <f t="shared" si="43"/>
        <v>0.53630669017203525</v>
      </c>
      <c r="K86" s="256">
        <f t="shared" si="43"/>
        <v>0.53642415207169503</v>
      </c>
      <c r="L86" s="256">
        <f t="shared" si="43"/>
        <v>0.53641340687914796</v>
      </c>
      <c r="M86" s="256">
        <f t="shared" si="43"/>
        <v>0.53484516007779748</v>
      </c>
      <c r="N86" s="256">
        <f t="shared" si="43"/>
        <v>0.53445181438331513</v>
      </c>
      <c r="O86" s="256">
        <f t="shared" si="43"/>
        <v>0.53742973545346306</v>
      </c>
    </row>
    <row r="87" spans="1:15" ht="15.75" thickBot="1" x14ac:dyDescent="0.3">
      <c r="B87" s="257"/>
      <c r="C87" s="258" t="s">
        <v>202</v>
      </c>
      <c r="D87" s="259">
        <f t="shared" si="43"/>
        <v>0.52745948200779624</v>
      </c>
      <c r="E87" s="259">
        <f t="shared" si="43"/>
        <v>0.50225517596582281</v>
      </c>
      <c r="F87" s="259">
        <f t="shared" si="43"/>
        <v>0.50774749687320897</v>
      </c>
      <c r="G87" s="259">
        <f t="shared" si="43"/>
        <v>0.48949990953248085</v>
      </c>
      <c r="H87" s="259">
        <f t="shared" si="43"/>
        <v>0.48690972558256984</v>
      </c>
      <c r="I87" s="259">
        <f t="shared" si="43"/>
        <v>0.49936405385036448</v>
      </c>
      <c r="J87" s="259">
        <f t="shared" si="43"/>
        <v>0.49480215709624442</v>
      </c>
      <c r="K87" s="259">
        <f t="shared" si="43"/>
        <v>0.49384029917428357</v>
      </c>
      <c r="L87" s="259">
        <f t="shared" si="43"/>
        <v>0.4879178856599023</v>
      </c>
      <c r="M87" s="259">
        <f t="shared" si="43"/>
        <v>0.495836557083007</v>
      </c>
      <c r="N87" s="259">
        <f t="shared" si="43"/>
        <v>0.49529127519922084</v>
      </c>
      <c r="O87" s="259">
        <f t="shared" si="43"/>
        <v>0.49043801480261612</v>
      </c>
    </row>
    <row r="88" spans="1:15" x14ac:dyDescent="0.25">
      <c r="B88" s="260" t="s">
        <v>214</v>
      </c>
      <c r="C88" s="253" t="s">
        <v>200</v>
      </c>
      <c r="D88" s="254">
        <f t="shared" ref="D88:O88" si="44">D79/D61</f>
        <v>1.8892308753093192E-2</v>
      </c>
      <c r="E88" s="254">
        <f t="shared" si="44"/>
        <v>0.60183676336045799</v>
      </c>
      <c r="F88" s="254">
        <f t="shared" si="44"/>
        <v>0.19496549433074289</v>
      </c>
      <c r="G88" s="254">
        <f t="shared" si="44"/>
        <v>0.16688588670043075</v>
      </c>
      <c r="H88" s="254">
        <f t="shared" si="44"/>
        <v>2.2705847161420666E-2</v>
      </c>
      <c r="I88" s="254">
        <f t="shared" si="44"/>
        <v>0.27037872515913119</v>
      </c>
      <c r="J88" s="254">
        <f t="shared" si="44"/>
        <v>4.8649416456296307E-2</v>
      </c>
      <c r="K88" s="254">
        <f t="shared" si="44"/>
        <v>0.57331653330446786</v>
      </c>
      <c r="L88" s="254">
        <f t="shared" si="44"/>
        <v>0.10528242048043387</v>
      </c>
      <c r="M88" s="254">
        <f t="shared" si="44"/>
        <v>0.19080951849067068</v>
      </c>
      <c r="N88" s="254">
        <f t="shared" si="44"/>
        <v>4.0647980687765282E-2</v>
      </c>
      <c r="O88" s="254">
        <f t="shared" si="44"/>
        <v>0.36648462914587515</v>
      </c>
    </row>
    <row r="89" spans="1:15" x14ac:dyDescent="0.25">
      <c r="B89" s="261"/>
      <c r="C89" s="251" t="s">
        <v>201</v>
      </c>
      <c r="D89" s="256">
        <f t="shared" ref="D89:O90" si="45">D83/D65</f>
        <v>1.8892308753093192E-2</v>
      </c>
      <c r="E89" s="256">
        <f t="shared" si="45"/>
        <v>0.24426018799283958</v>
      </c>
      <c r="F89" s="256">
        <f t="shared" si="45"/>
        <v>0.23135110973794845</v>
      </c>
      <c r="G89" s="256">
        <f t="shared" si="45"/>
        <v>0.21218317559620248</v>
      </c>
      <c r="H89" s="256">
        <f t="shared" si="45"/>
        <v>0.16433175665709499</v>
      </c>
      <c r="I89" s="256">
        <f t="shared" si="45"/>
        <v>0.18461853738509279</v>
      </c>
      <c r="J89" s="256">
        <f t="shared" si="45"/>
        <v>0.16487937582918638</v>
      </c>
      <c r="K89" s="256">
        <f t="shared" si="45"/>
        <v>0.20335581258752863</v>
      </c>
      <c r="L89" s="256">
        <f t="shared" si="45"/>
        <v>0.19101106798277995</v>
      </c>
      <c r="M89" s="256">
        <f t="shared" si="45"/>
        <v>0.19098993434443523</v>
      </c>
      <c r="N89" s="256">
        <f t="shared" si="45"/>
        <v>0.17483937141953584</v>
      </c>
      <c r="O89" s="256">
        <f t="shared" si="45"/>
        <v>0.18880071746815386</v>
      </c>
    </row>
    <row r="90" spans="1:15" ht="15.75" thickBot="1" x14ac:dyDescent="0.3">
      <c r="B90" s="262"/>
      <c r="C90" s="258" t="s">
        <v>202</v>
      </c>
      <c r="D90" s="259">
        <f t="shared" si="45"/>
        <v>6.7018911588585584E-2</v>
      </c>
      <c r="E90" s="259">
        <f t="shared" si="45"/>
        <v>0.12103864301315509</v>
      </c>
      <c r="F90" s="259">
        <f t="shared" si="45"/>
        <v>0.12522871395017279</v>
      </c>
      <c r="G90" s="259">
        <f t="shared" si="45"/>
        <v>0.13380279589720817</v>
      </c>
      <c r="H90" s="259">
        <f t="shared" si="45"/>
        <v>0.13980842170979269</v>
      </c>
      <c r="I90" s="259">
        <f t="shared" si="45"/>
        <v>0.12899901680288875</v>
      </c>
      <c r="J90" s="259">
        <f t="shared" si="45"/>
        <v>0.11324005925290982</v>
      </c>
      <c r="K90" s="259">
        <f t="shared" si="45"/>
        <v>0.11785923655434101</v>
      </c>
      <c r="L90" s="259">
        <f t="shared" si="45"/>
        <v>0.13917187381549562</v>
      </c>
      <c r="M90" s="259">
        <f t="shared" si="45"/>
        <v>0.13759397265254691</v>
      </c>
      <c r="N90" s="259">
        <f t="shared" si="45"/>
        <v>0.13175053433938766</v>
      </c>
      <c r="O90" s="259">
        <f t="shared" si="45"/>
        <v>0.13852233876446082</v>
      </c>
    </row>
    <row r="91" spans="1:15" x14ac:dyDescent="0.25">
      <c r="B91" s="261" t="s">
        <v>215</v>
      </c>
      <c r="C91" s="253" t="s">
        <v>200</v>
      </c>
      <c r="D91" s="254">
        <f>(D67)/(D61+D55)</f>
        <v>0.44595430834915789</v>
      </c>
      <c r="E91" s="254">
        <f t="shared" ref="E91:O91" si="46">(E67)/(E61+E55)</f>
        <v>0.52537625905876373</v>
      </c>
      <c r="F91" s="254">
        <f t="shared" si="46"/>
        <v>0.61611083156845714</v>
      </c>
      <c r="G91" s="254">
        <f t="shared" si="46"/>
        <v>0.50218962419484714</v>
      </c>
      <c r="H91" s="254">
        <f t="shared" si="46"/>
        <v>0.47179400235230157</v>
      </c>
      <c r="I91" s="254">
        <f t="shared" si="46"/>
        <v>0.54738699915321087</v>
      </c>
      <c r="J91" s="254">
        <f t="shared" si="46"/>
        <v>0.60202461139956631</v>
      </c>
      <c r="K91" s="254">
        <f t="shared" si="46"/>
        <v>0.53173206347067803</v>
      </c>
      <c r="L91" s="254">
        <f t="shared" si="46"/>
        <v>0.5278734497833355</v>
      </c>
      <c r="M91" s="254">
        <f t="shared" si="46"/>
        <v>0.51355835540355421</v>
      </c>
      <c r="N91" s="254">
        <f t="shared" si="46"/>
        <v>0.52167311693505924</v>
      </c>
      <c r="O91" s="254">
        <f t="shared" si="46"/>
        <v>0.56462213064850031</v>
      </c>
    </row>
    <row r="92" spans="1:15" x14ac:dyDescent="0.25">
      <c r="B92" s="261"/>
      <c r="C92" s="251" t="s">
        <v>201</v>
      </c>
      <c r="D92" s="256">
        <f>(D71)/(D65+D59)</f>
        <v>0.44595430834915789</v>
      </c>
      <c r="E92" s="256">
        <f t="shared" ref="E92:O93" si="47">(E71)/(E65+E59)</f>
        <v>0.4845087373788286</v>
      </c>
      <c r="F92" s="256">
        <f t="shared" si="47"/>
        <v>0.52447316951729295</v>
      </c>
      <c r="G92" s="256">
        <f t="shared" si="47"/>
        <v>0.51847929798017378</v>
      </c>
      <c r="H92" s="256">
        <f t="shared" si="47"/>
        <v>0.508604613475649</v>
      </c>
      <c r="I92" s="256">
        <f t="shared" si="47"/>
        <v>0.51569104077732841</v>
      </c>
      <c r="J92" s="256">
        <f t="shared" si="47"/>
        <v>0.52868622172538848</v>
      </c>
      <c r="K92" s="256">
        <f t="shared" si="47"/>
        <v>0.5290702389317965</v>
      </c>
      <c r="L92" s="256">
        <f t="shared" si="47"/>
        <v>0.52893703762598876</v>
      </c>
      <c r="M92" s="256">
        <f t="shared" si="47"/>
        <v>0.52736740914039149</v>
      </c>
      <c r="N92" s="256">
        <f t="shared" si="47"/>
        <v>0.52684632465019099</v>
      </c>
      <c r="O92" s="256">
        <f t="shared" si="47"/>
        <v>0.52983315385469842</v>
      </c>
    </row>
    <row r="93" spans="1:15" ht="15.75" thickBot="1" x14ac:dyDescent="0.3">
      <c r="B93" s="262"/>
      <c r="C93" s="258" t="s">
        <v>202</v>
      </c>
      <c r="D93" s="259">
        <f>(D72)/(D66+D60)</f>
        <v>0.51028244434625425</v>
      </c>
      <c r="E93" s="259">
        <f t="shared" si="47"/>
        <v>0.4882247335127039</v>
      </c>
      <c r="F93" s="259">
        <f t="shared" si="47"/>
        <v>0.49151350021729107</v>
      </c>
      <c r="G93" s="259">
        <f t="shared" si="47"/>
        <v>0.47417015440301097</v>
      </c>
      <c r="H93" s="259">
        <f t="shared" si="47"/>
        <v>0.47244143117252568</v>
      </c>
      <c r="I93" s="259">
        <f t="shared" si="47"/>
        <v>0.48512347137331679</v>
      </c>
      <c r="J93" s="259">
        <f t="shared" si="47"/>
        <v>0.48125479407893901</v>
      </c>
      <c r="K93" s="259">
        <f t="shared" si="47"/>
        <v>0.47993007014154776</v>
      </c>
      <c r="L93" s="259">
        <f t="shared" si="47"/>
        <v>0.47388475565442384</v>
      </c>
      <c r="M93" s="259">
        <f t="shared" si="47"/>
        <v>0.48125909371938741</v>
      </c>
      <c r="N93" s="259">
        <f t="shared" si="47"/>
        <v>0.48106381189280428</v>
      </c>
      <c r="O93" s="259">
        <f t="shared" si="47"/>
        <v>0.47703090926002722</v>
      </c>
    </row>
    <row r="94" spans="1:15" x14ac:dyDescent="0.25">
      <c r="A94" s="263"/>
      <c r="B94" s="264" t="s">
        <v>216</v>
      </c>
      <c r="C94" s="107">
        <v>65753</v>
      </c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</row>
    <row r="95" spans="1:15" x14ac:dyDescent="0.25">
      <c r="A95" s="266"/>
      <c r="B95" s="267" t="s">
        <v>217</v>
      </c>
      <c r="C95" s="268"/>
      <c r="D95" s="265">
        <f t="shared" ref="D95:O95" si="48">(D7*1000)/($C$94*30.4)</f>
        <v>199.64318218020071</v>
      </c>
      <c r="E95" s="265">
        <f t="shared" si="48"/>
        <v>159.90765280271384</v>
      </c>
      <c r="F95" s="265">
        <f t="shared" si="48"/>
        <v>207.60909848419965</v>
      </c>
      <c r="G95" s="265">
        <f t="shared" si="48"/>
        <v>178.28634194797596</v>
      </c>
      <c r="H95" s="265">
        <f t="shared" si="48"/>
        <v>228.15598968067897</v>
      </c>
      <c r="I95" s="265">
        <f t="shared" si="48"/>
        <v>235.70617550369926</v>
      </c>
      <c r="J95" s="265">
        <f t="shared" si="48"/>
        <v>187.97571373569508</v>
      </c>
      <c r="K95" s="265">
        <f t="shared" si="48"/>
        <v>211.8134293652401</v>
      </c>
      <c r="L95" s="265">
        <f t="shared" si="48"/>
        <v>203.08108815527328</v>
      </c>
      <c r="M95" s="265">
        <f t="shared" si="48"/>
        <v>194.07609578750458</v>
      </c>
      <c r="N95" s="265">
        <f t="shared" si="48"/>
        <v>208.09436751735163</v>
      </c>
      <c r="O95" s="265">
        <f t="shared" si="48"/>
        <v>203.36024291867412</v>
      </c>
    </row>
    <row r="96" spans="1:15" ht="10.5" customHeight="1" x14ac:dyDescent="0.25">
      <c r="A96" s="266"/>
      <c r="B96" s="269"/>
      <c r="C96" s="270"/>
      <c r="D96" s="271"/>
      <c r="E96" s="272"/>
      <c r="F96" s="272"/>
      <c r="G96" s="272"/>
      <c r="H96" s="271"/>
      <c r="I96" s="272"/>
      <c r="J96" s="272"/>
      <c r="K96" s="272"/>
      <c r="L96" s="272"/>
      <c r="M96" s="272"/>
      <c r="N96" s="272"/>
      <c r="O96" s="272"/>
    </row>
    <row r="97" spans="1:28" x14ac:dyDescent="0.25">
      <c r="A97" s="266"/>
      <c r="B97" s="267" t="s">
        <v>218</v>
      </c>
      <c r="C97" s="273"/>
      <c r="D97" s="274">
        <f t="shared" ref="D97:O97" si="49">((D13+D25)*1000)/($C$94*30.4)</f>
        <v>149.89560212181632</v>
      </c>
      <c r="E97" s="274">
        <f t="shared" si="49"/>
        <v>127.68578900142239</v>
      </c>
      <c r="F97" s="274">
        <f t="shared" si="49"/>
        <v>114.97098991680988</v>
      </c>
      <c r="G97" s="274">
        <f t="shared" si="49"/>
        <v>155.71607899419439</v>
      </c>
      <c r="H97" s="274">
        <f t="shared" si="49"/>
        <v>153.53161792897984</v>
      </c>
      <c r="I97" s="274">
        <f t="shared" si="49"/>
        <v>167.53237995144508</v>
      </c>
      <c r="J97" s="274">
        <f t="shared" si="49"/>
        <v>157.12561043842706</v>
      </c>
      <c r="K97" s="274">
        <f t="shared" si="49"/>
        <v>150.17575743992469</v>
      </c>
      <c r="L97" s="274">
        <f t="shared" si="49"/>
        <v>148.27870571444808</v>
      </c>
      <c r="M97" s="274">
        <f t="shared" si="49"/>
        <v>149.89860378593892</v>
      </c>
      <c r="N97" s="274">
        <f t="shared" si="49"/>
        <v>145.47039878908868</v>
      </c>
      <c r="O97" s="274">
        <f t="shared" si="49"/>
        <v>130.28272874481613</v>
      </c>
    </row>
    <row r="98" spans="1:28" ht="15.75" thickBot="1" x14ac:dyDescent="0.3">
      <c r="A98" s="275"/>
      <c r="B98" s="269"/>
      <c r="C98" s="270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28" ht="15.75" x14ac:dyDescent="0.25">
      <c r="B99" s="260" t="s">
        <v>219</v>
      </c>
      <c r="C99" s="277" t="s">
        <v>220</v>
      </c>
      <c r="D99" s="278">
        <v>8920</v>
      </c>
      <c r="E99" s="278">
        <v>9106</v>
      </c>
      <c r="F99" s="278">
        <v>9145</v>
      </c>
      <c r="G99" s="278">
        <v>8804</v>
      </c>
      <c r="H99" s="278">
        <v>9277</v>
      </c>
      <c r="I99" s="278">
        <v>8766</v>
      </c>
      <c r="J99" s="278">
        <v>8748</v>
      </c>
      <c r="K99" s="278">
        <v>8354</v>
      </c>
      <c r="L99" s="279">
        <v>8555</v>
      </c>
      <c r="M99" s="278">
        <v>8927</v>
      </c>
      <c r="N99" s="278">
        <v>9021</v>
      </c>
      <c r="O99" s="278">
        <v>8624</v>
      </c>
    </row>
    <row r="100" spans="1:28" ht="15.75" x14ac:dyDescent="0.25">
      <c r="B100" s="261"/>
      <c r="C100" s="280" t="s">
        <v>91</v>
      </c>
      <c r="D100" s="281">
        <v>543</v>
      </c>
      <c r="E100" s="281">
        <v>548</v>
      </c>
      <c r="F100" s="281">
        <v>531</v>
      </c>
      <c r="G100" s="281">
        <v>522</v>
      </c>
      <c r="H100" s="281">
        <v>525</v>
      </c>
      <c r="I100" s="281">
        <v>499</v>
      </c>
      <c r="J100" s="281">
        <v>492</v>
      </c>
      <c r="K100" s="281">
        <v>446</v>
      </c>
      <c r="L100" s="282">
        <v>501</v>
      </c>
      <c r="M100" s="281">
        <v>505</v>
      </c>
      <c r="N100" s="281">
        <v>541</v>
      </c>
      <c r="O100" s="281">
        <v>471</v>
      </c>
    </row>
    <row r="101" spans="1:28" ht="18.75" x14ac:dyDescent="0.3">
      <c r="B101" s="261"/>
      <c r="C101" s="283" t="s">
        <v>221</v>
      </c>
      <c r="D101" s="284">
        <v>5</v>
      </c>
      <c r="E101" s="284">
        <v>7</v>
      </c>
      <c r="F101" s="284">
        <v>9</v>
      </c>
      <c r="G101" s="284">
        <v>6</v>
      </c>
      <c r="H101" s="284">
        <v>11</v>
      </c>
      <c r="I101" s="284">
        <v>6</v>
      </c>
      <c r="J101" s="284">
        <v>8</v>
      </c>
      <c r="K101" s="284">
        <v>11</v>
      </c>
      <c r="L101" s="285">
        <v>9</v>
      </c>
      <c r="M101" s="284">
        <v>10</v>
      </c>
      <c r="N101" s="284">
        <v>10</v>
      </c>
      <c r="O101" s="286">
        <v>8</v>
      </c>
    </row>
    <row r="102" spans="1:28" ht="15.75" x14ac:dyDescent="0.25">
      <c r="B102" s="261"/>
      <c r="C102" s="280" t="s">
        <v>222</v>
      </c>
      <c r="D102" s="281">
        <v>101</v>
      </c>
      <c r="E102" s="281">
        <v>86</v>
      </c>
      <c r="F102" s="281">
        <v>87</v>
      </c>
      <c r="G102" s="281">
        <v>86</v>
      </c>
      <c r="H102" s="281">
        <v>86</v>
      </c>
      <c r="I102" s="281">
        <v>85</v>
      </c>
      <c r="J102" s="281">
        <v>86</v>
      </c>
      <c r="K102" s="281">
        <v>85</v>
      </c>
      <c r="L102" s="282">
        <v>85</v>
      </c>
      <c r="M102" s="281">
        <v>85</v>
      </c>
      <c r="N102" s="281">
        <v>85</v>
      </c>
      <c r="O102" s="281">
        <v>85</v>
      </c>
    </row>
    <row r="103" spans="1:28" ht="16.5" thickBot="1" x14ac:dyDescent="0.3">
      <c r="B103" s="261"/>
      <c r="C103" s="280" t="s">
        <v>223</v>
      </c>
      <c r="D103" s="281">
        <v>87</v>
      </c>
      <c r="E103" s="281">
        <v>100</v>
      </c>
      <c r="F103" s="281">
        <v>101</v>
      </c>
      <c r="G103" s="281">
        <v>101</v>
      </c>
      <c r="H103" s="281">
        <v>101</v>
      </c>
      <c r="I103" s="281">
        <v>101</v>
      </c>
      <c r="J103" s="281">
        <v>101</v>
      </c>
      <c r="K103" s="281">
        <v>100</v>
      </c>
      <c r="L103" s="282">
        <v>100</v>
      </c>
      <c r="M103" s="281">
        <v>100</v>
      </c>
      <c r="N103" s="281">
        <v>100</v>
      </c>
      <c r="O103" s="281">
        <v>101</v>
      </c>
    </row>
    <row r="104" spans="1:28" ht="15.75" x14ac:dyDescent="0.25">
      <c r="B104" s="255"/>
      <c r="C104" s="287" t="s">
        <v>194</v>
      </c>
      <c r="D104" s="288">
        <f t="shared" ref="D104:O104" si="50">SUM(D99:D103)</f>
        <v>9656</v>
      </c>
      <c r="E104" s="288">
        <f t="shared" si="50"/>
        <v>9847</v>
      </c>
      <c r="F104" s="288">
        <f t="shared" si="50"/>
        <v>9873</v>
      </c>
      <c r="G104" s="288">
        <f t="shared" si="50"/>
        <v>9519</v>
      </c>
      <c r="H104" s="288">
        <f t="shared" si="50"/>
        <v>10000</v>
      </c>
      <c r="I104" s="288">
        <f t="shared" si="50"/>
        <v>9457</v>
      </c>
      <c r="J104" s="288">
        <f t="shared" si="50"/>
        <v>9435</v>
      </c>
      <c r="K104" s="288">
        <f t="shared" si="50"/>
        <v>8996</v>
      </c>
      <c r="L104" s="288">
        <f t="shared" si="50"/>
        <v>9250</v>
      </c>
      <c r="M104" s="288">
        <f t="shared" si="50"/>
        <v>9627</v>
      </c>
      <c r="N104" s="288">
        <f t="shared" si="50"/>
        <v>9757</v>
      </c>
      <c r="O104" s="288">
        <f t="shared" si="50"/>
        <v>9289</v>
      </c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</row>
    <row r="105" spans="1:28" ht="15.75" x14ac:dyDescent="0.25">
      <c r="B105" s="255"/>
      <c r="C105" s="290" t="s">
        <v>195</v>
      </c>
      <c r="D105" s="281">
        <v>9991</v>
      </c>
      <c r="E105" s="281">
        <v>9586</v>
      </c>
      <c r="F105" s="281">
        <v>10230</v>
      </c>
      <c r="G105" s="291">
        <v>10810</v>
      </c>
      <c r="H105" s="281">
        <v>9501</v>
      </c>
      <c r="I105" s="281">
        <v>9801</v>
      </c>
      <c r="J105" s="291">
        <v>9313</v>
      </c>
      <c r="K105" s="281">
        <v>9111</v>
      </c>
      <c r="L105" s="281">
        <v>9710</v>
      </c>
      <c r="M105" s="291">
        <v>9846</v>
      </c>
      <c r="N105" s="281">
        <v>9767</v>
      </c>
      <c r="O105" s="281">
        <v>9221</v>
      </c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</row>
    <row r="106" spans="1:28" ht="15.75" x14ac:dyDescent="0.25">
      <c r="B106" s="255"/>
      <c r="C106" s="290" t="s">
        <v>224</v>
      </c>
      <c r="D106" s="281">
        <v>17199</v>
      </c>
      <c r="E106" s="281">
        <v>17199</v>
      </c>
      <c r="F106" s="281">
        <v>17199</v>
      </c>
      <c r="G106" s="291">
        <v>17199</v>
      </c>
      <c r="H106" s="281">
        <v>17199</v>
      </c>
      <c r="I106" s="281">
        <v>17199</v>
      </c>
      <c r="J106" s="291">
        <v>17199</v>
      </c>
      <c r="K106" s="281">
        <v>17199</v>
      </c>
      <c r="L106" s="281">
        <v>17199</v>
      </c>
      <c r="M106" s="291">
        <v>17199</v>
      </c>
      <c r="N106" s="281">
        <v>17199</v>
      </c>
      <c r="O106" s="281">
        <v>17199</v>
      </c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</row>
    <row r="107" spans="1:28" ht="15.75" x14ac:dyDescent="0.25">
      <c r="B107" s="255"/>
      <c r="C107" s="292" t="s">
        <v>225</v>
      </c>
      <c r="D107" s="284">
        <v>16136</v>
      </c>
      <c r="E107" s="284">
        <v>16136</v>
      </c>
      <c r="F107" s="284">
        <v>16136</v>
      </c>
      <c r="G107" s="293">
        <v>16136</v>
      </c>
      <c r="H107" s="284">
        <v>16136</v>
      </c>
      <c r="I107" s="284">
        <v>16136</v>
      </c>
      <c r="J107" s="293">
        <v>16136</v>
      </c>
      <c r="K107" s="284">
        <v>16136</v>
      </c>
      <c r="L107" s="284">
        <v>16136</v>
      </c>
      <c r="M107" s="293">
        <v>16136</v>
      </c>
      <c r="N107" s="284">
        <v>16136</v>
      </c>
      <c r="O107" s="284">
        <v>16136</v>
      </c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</row>
    <row r="108" spans="1:28" ht="16.5" thickBot="1" x14ac:dyDescent="0.3">
      <c r="B108" s="257"/>
      <c r="C108" s="294" t="s">
        <v>226</v>
      </c>
      <c r="D108" s="295">
        <v>15010</v>
      </c>
      <c r="E108" s="295">
        <v>15010</v>
      </c>
      <c r="F108" s="295">
        <v>15010</v>
      </c>
      <c r="G108" s="296">
        <v>15010</v>
      </c>
      <c r="H108" s="295">
        <v>15010</v>
      </c>
      <c r="I108" s="297">
        <v>15010</v>
      </c>
      <c r="J108" s="296">
        <v>15010</v>
      </c>
      <c r="K108" s="297">
        <v>15010</v>
      </c>
      <c r="L108" s="297">
        <v>15010</v>
      </c>
      <c r="M108" s="298">
        <v>15010</v>
      </c>
      <c r="N108" s="297">
        <v>15010</v>
      </c>
      <c r="O108" s="295">
        <v>15010</v>
      </c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</row>
    <row r="109" spans="1:28" ht="15.75" thickTop="1" x14ac:dyDescent="0.25">
      <c r="A109" s="299" t="s">
        <v>188</v>
      </c>
      <c r="B109" s="300" t="s">
        <v>227</v>
      </c>
      <c r="C109" s="301" t="s">
        <v>190</v>
      </c>
      <c r="D109" s="302">
        <f>+PIGOO!B87</f>
        <v>148721</v>
      </c>
      <c r="E109" s="302">
        <f>+PIGOO!C87</f>
        <v>154605</v>
      </c>
      <c r="F109" s="303">
        <f>+PIGOO!D87</f>
        <v>206395</v>
      </c>
      <c r="G109" s="302">
        <f>+PIGOO!E87</f>
        <v>203305</v>
      </c>
      <c r="H109" s="302">
        <f>+PIGOO!F87</f>
        <v>213411</v>
      </c>
      <c r="I109" s="302">
        <f>+PIGOO!G87</f>
        <v>197811</v>
      </c>
      <c r="J109" s="302">
        <f>+PIGOO!H87</f>
        <v>180219</v>
      </c>
      <c r="K109" s="302">
        <f>+PIGOO!I87</f>
        <v>195020</v>
      </c>
      <c r="L109" s="302">
        <f>+PIGOO!J87</f>
        <v>201685</v>
      </c>
      <c r="M109" s="302">
        <f>+PIGOO!K87</f>
        <v>202701</v>
      </c>
      <c r="N109" s="302">
        <f>+PIGOO!L87</f>
        <v>201180</v>
      </c>
      <c r="O109" s="302">
        <f>+PIGOO!M87</f>
        <v>195413</v>
      </c>
    </row>
    <row r="110" spans="1:28" ht="15.75" thickBot="1" x14ac:dyDescent="0.3">
      <c r="A110" s="304"/>
      <c r="B110" s="226"/>
      <c r="C110" s="305" t="s">
        <v>191</v>
      </c>
      <c r="D110" s="228">
        <v>198925</v>
      </c>
      <c r="E110" s="229">
        <v>187604</v>
      </c>
      <c r="F110" s="229">
        <v>185845</v>
      </c>
      <c r="G110" s="229">
        <v>213165</v>
      </c>
      <c r="H110" s="229">
        <v>223518</v>
      </c>
      <c r="I110" s="229">
        <v>209952</v>
      </c>
      <c r="J110" s="229">
        <v>209501</v>
      </c>
      <c r="K110" s="306">
        <v>213057</v>
      </c>
      <c r="L110" s="229">
        <v>214940</v>
      </c>
      <c r="M110" s="229">
        <v>201715</v>
      </c>
      <c r="N110" s="229">
        <v>169695</v>
      </c>
      <c r="O110" s="307">
        <v>170389</v>
      </c>
      <c r="Q110" s="142" t="s">
        <v>228</v>
      </c>
    </row>
    <row r="111" spans="1:28" x14ac:dyDescent="0.25">
      <c r="A111" s="308"/>
      <c r="B111" s="226"/>
      <c r="C111" s="243" t="s">
        <v>192</v>
      </c>
      <c r="D111" s="244">
        <f>(D109/D110)-1</f>
        <v>-0.25237652381550835</v>
      </c>
      <c r="E111" s="167">
        <f>(E109/E110)-1</f>
        <v>-0.17589710240719814</v>
      </c>
      <c r="F111" s="167">
        <f>(F109/F110)-1</f>
        <v>0.11057601764911618</v>
      </c>
      <c r="G111" s="167">
        <f>(G109/G110)-1</f>
        <v>-4.625524828184735E-2</v>
      </c>
      <c r="H111" s="167">
        <f t="shared" ref="H111:O111" si="51">(H109/H110)-1</f>
        <v>-4.5217834805250545E-2</v>
      </c>
      <c r="I111" s="167">
        <f t="shared" si="51"/>
        <v>-5.7827503429355276E-2</v>
      </c>
      <c r="J111" s="167">
        <f t="shared" si="51"/>
        <v>-0.13977021589395755</v>
      </c>
      <c r="K111" s="168">
        <f>(K109/K110)-1</f>
        <v>-8.4658096190221355E-2</v>
      </c>
      <c r="L111" s="167">
        <f t="shared" si="51"/>
        <v>-6.166837256908908E-2</v>
      </c>
      <c r="M111" s="167">
        <f t="shared" si="51"/>
        <v>4.8880846739212114E-3</v>
      </c>
      <c r="N111" s="167">
        <f t="shared" si="51"/>
        <v>0.18553876071775832</v>
      </c>
      <c r="O111" s="309">
        <f t="shared" si="51"/>
        <v>0.14686394074734865</v>
      </c>
    </row>
    <row r="112" spans="1:28" x14ac:dyDescent="0.25">
      <c r="A112" s="308"/>
      <c r="B112" s="226"/>
      <c r="C112" s="310" t="s">
        <v>193</v>
      </c>
      <c r="D112" s="311">
        <f t="shared" ref="D112:O112" si="52">(D113/D114)-1</f>
        <v>-0.25237652381550835</v>
      </c>
      <c r="E112" s="312">
        <f t="shared" si="52"/>
        <v>-0.21525681126125074</v>
      </c>
      <c r="F112" s="312">
        <f t="shared" si="52"/>
        <v>-0.10946164570717742</v>
      </c>
      <c r="G112" s="312">
        <f t="shared" si="52"/>
        <v>-9.230986621924564E-2</v>
      </c>
      <c r="H112" s="312">
        <f t="shared" si="52"/>
        <v>-8.187842708588311E-2</v>
      </c>
      <c r="I112" s="312">
        <f t="shared" si="52"/>
        <v>-7.7736095467711874E-2</v>
      </c>
      <c r="J112" s="312">
        <f t="shared" si="52"/>
        <v>-8.6833833854855769E-2</v>
      </c>
      <c r="K112" s="313">
        <f t="shared" si="52"/>
        <v>-8.6551447488893207E-2</v>
      </c>
      <c r="L112" s="312">
        <f t="shared" si="52"/>
        <v>-8.3670570593054605E-2</v>
      </c>
      <c r="M112" s="312">
        <f t="shared" si="52"/>
        <v>-7.4991424637381177E-2</v>
      </c>
      <c r="N112" s="312">
        <f t="shared" si="52"/>
        <v>-5.5147476319809097E-2</v>
      </c>
      <c r="O112" s="314">
        <f t="shared" si="52"/>
        <v>-4.0795461463216109E-2</v>
      </c>
    </row>
    <row r="113" spans="1:15" x14ac:dyDescent="0.25">
      <c r="A113" s="308"/>
      <c r="B113" s="226"/>
      <c r="C113" s="243" t="s">
        <v>194</v>
      </c>
      <c r="D113" s="155">
        <f>+D109</f>
        <v>148721</v>
      </c>
      <c r="E113" s="172">
        <f t="shared" ref="E113:O114" si="53">D113+E109</f>
        <v>303326</v>
      </c>
      <c r="F113" s="172">
        <f t="shared" si="53"/>
        <v>509721</v>
      </c>
      <c r="G113" s="172">
        <f t="shared" si="53"/>
        <v>713026</v>
      </c>
      <c r="H113" s="172">
        <f t="shared" si="53"/>
        <v>926437</v>
      </c>
      <c r="I113" s="172">
        <f t="shared" si="53"/>
        <v>1124248</v>
      </c>
      <c r="J113" s="172">
        <f t="shared" si="53"/>
        <v>1304467</v>
      </c>
      <c r="K113" s="172">
        <f t="shared" si="53"/>
        <v>1499487</v>
      </c>
      <c r="L113" s="172">
        <f t="shared" si="53"/>
        <v>1701172</v>
      </c>
      <c r="M113" s="172">
        <f t="shared" si="53"/>
        <v>1903873</v>
      </c>
      <c r="N113" s="172">
        <f t="shared" si="53"/>
        <v>2105053</v>
      </c>
      <c r="O113" s="315">
        <f t="shared" si="53"/>
        <v>2300466</v>
      </c>
    </row>
    <row r="114" spans="1:15" ht="15.75" thickBot="1" x14ac:dyDescent="0.3">
      <c r="A114" s="308"/>
      <c r="B114" s="231"/>
      <c r="C114" s="316" t="s">
        <v>195</v>
      </c>
      <c r="D114" s="317">
        <f>+D110</f>
        <v>198925</v>
      </c>
      <c r="E114" s="229">
        <f t="shared" si="53"/>
        <v>386529</v>
      </c>
      <c r="F114" s="229">
        <f t="shared" si="53"/>
        <v>572374</v>
      </c>
      <c r="G114" s="229">
        <f t="shared" si="53"/>
        <v>785539</v>
      </c>
      <c r="H114" s="229">
        <f t="shared" si="53"/>
        <v>1009057</v>
      </c>
      <c r="I114" s="229">
        <f t="shared" si="53"/>
        <v>1219009</v>
      </c>
      <c r="J114" s="229">
        <f t="shared" si="53"/>
        <v>1428510</v>
      </c>
      <c r="K114" s="229">
        <f t="shared" si="53"/>
        <v>1641567</v>
      </c>
      <c r="L114" s="229">
        <f t="shared" si="53"/>
        <v>1856507</v>
      </c>
      <c r="M114" s="229">
        <f t="shared" si="53"/>
        <v>2058222</v>
      </c>
      <c r="N114" s="229">
        <f t="shared" si="53"/>
        <v>2227917</v>
      </c>
      <c r="O114" s="307">
        <f t="shared" si="53"/>
        <v>2398306</v>
      </c>
    </row>
    <row r="115" spans="1:15" x14ac:dyDescent="0.25">
      <c r="A115" s="318" t="s">
        <v>188</v>
      </c>
      <c r="B115" s="153" t="s">
        <v>229</v>
      </c>
      <c r="C115" s="251" t="s">
        <v>190</v>
      </c>
      <c r="D115" s="233">
        <v>4630</v>
      </c>
      <c r="E115" s="233">
        <v>3744</v>
      </c>
      <c r="F115" s="319">
        <v>5431</v>
      </c>
      <c r="G115" s="233">
        <f>+PIGOO!E88</f>
        <v>80100</v>
      </c>
      <c r="H115" s="233">
        <f>+PIGOO!F88</f>
        <v>93000</v>
      </c>
      <c r="I115" s="233">
        <f>+PIGOO!G88</f>
        <v>90000</v>
      </c>
      <c r="J115" s="233">
        <f>+PIGOO!H88</f>
        <v>70000</v>
      </c>
      <c r="K115" s="233">
        <f>+PIGOO!I88</f>
        <v>80000</v>
      </c>
      <c r="L115" s="233">
        <f>+PIGOO!J88</f>
        <v>82000</v>
      </c>
      <c r="M115" s="233">
        <f>+PIGOO!K88</f>
        <v>82500</v>
      </c>
      <c r="N115" s="233">
        <f>+PIGOO!L88</f>
        <v>80000</v>
      </c>
      <c r="O115" s="233">
        <f>+PIGOO!M88</f>
        <v>77500</v>
      </c>
    </row>
    <row r="116" spans="1:15" ht="15.75" thickBot="1" x14ac:dyDescent="0.3">
      <c r="A116" s="304"/>
      <c r="B116" s="159"/>
      <c r="C116" s="292" t="s">
        <v>191</v>
      </c>
      <c r="D116" s="320">
        <v>1534</v>
      </c>
      <c r="E116" s="163">
        <v>52600</v>
      </c>
      <c r="F116" s="162">
        <v>47000</v>
      </c>
      <c r="G116" s="162">
        <v>63800</v>
      </c>
      <c r="H116" s="321">
        <v>82800</v>
      </c>
      <c r="I116" s="321">
        <v>80800</v>
      </c>
      <c r="J116" s="162">
        <v>70300</v>
      </c>
      <c r="K116" s="165">
        <v>87900</v>
      </c>
      <c r="L116" s="162">
        <v>91800</v>
      </c>
      <c r="M116" s="162">
        <v>80500</v>
      </c>
      <c r="N116" s="162">
        <v>45600</v>
      </c>
      <c r="O116" s="322">
        <v>45200</v>
      </c>
    </row>
    <row r="117" spans="1:15" x14ac:dyDescent="0.25">
      <c r="A117" s="308"/>
      <c r="B117" s="159"/>
      <c r="C117" s="243" t="s">
        <v>192</v>
      </c>
      <c r="D117" s="244">
        <f>(D115/D116)-1</f>
        <v>2.0182529335071706</v>
      </c>
      <c r="E117" s="167">
        <f t="shared" ref="E117:O117" si="54">(E115/E116)-1</f>
        <v>-0.92882129277566539</v>
      </c>
      <c r="F117" s="167">
        <f t="shared" si="54"/>
        <v>-0.88444680851063828</v>
      </c>
      <c r="G117" s="167">
        <f t="shared" si="54"/>
        <v>0.25548589341692796</v>
      </c>
      <c r="H117" s="167">
        <f t="shared" si="54"/>
        <v>0.12318840579710155</v>
      </c>
      <c r="I117" s="167">
        <f t="shared" si="54"/>
        <v>0.11386138613861396</v>
      </c>
      <c r="J117" s="167">
        <f t="shared" si="54"/>
        <v>-4.2674253200568613E-3</v>
      </c>
      <c r="K117" s="168">
        <f>(K115/K116)-1</f>
        <v>-8.9874857792946572E-2</v>
      </c>
      <c r="L117" s="167">
        <f t="shared" si="54"/>
        <v>-0.10675381263616557</v>
      </c>
      <c r="M117" s="167">
        <f t="shared" si="54"/>
        <v>2.4844720496894457E-2</v>
      </c>
      <c r="N117" s="167">
        <f t="shared" si="54"/>
        <v>0.7543859649122806</v>
      </c>
      <c r="O117" s="309">
        <f t="shared" si="54"/>
        <v>0.71460176991150437</v>
      </c>
    </row>
    <row r="118" spans="1:15" x14ac:dyDescent="0.25">
      <c r="A118" s="308"/>
      <c r="B118" s="159"/>
      <c r="C118" s="323" t="s">
        <v>193</v>
      </c>
      <c r="D118" s="324">
        <f>(D119/D120)-1</f>
        <v>2.0182529335071706</v>
      </c>
      <c r="E118" s="170">
        <f t="shared" ref="E118:O118" si="55">(E119/E120)-1</f>
        <v>-0.84530978682528546</v>
      </c>
      <c r="F118" s="170">
        <f t="shared" si="55"/>
        <v>-0.86349793343484882</v>
      </c>
      <c r="G118" s="170">
        <f t="shared" si="55"/>
        <v>-0.43065104829810708</v>
      </c>
      <c r="H118" s="170">
        <f t="shared" si="55"/>
        <v>-0.24554158896235478</v>
      </c>
      <c r="I118" s="170">
        <f t="shared" si="55"/>
        <v>-0.15714964052426839</v>
      </c>
      <c r="J118" s="170">
        <f t="shared" si="55"/>
        <v>-0.13020203894352034</v>
      </c>
      <c r="K118" s="171">
        <f>(K119/K120)-1</f>
        <v>-0.12291929472771579</v>
      </c>
      <c r="L118" s="170">
        <f t="shared" si="55"/>
        <v>-0.12035420563009258</v>
      </c>
      <c r="M118" s="170">
        <f t="shared" si="55"/>
        <v>-0.10261837780751826</v>
      </c>
      <c r="N118" s="170">
        <f t="shared" si="55"/>
        <v>-4.7157815262959257E-2</v>
      </c>
      <c r="O118" s="325">
        <f t="shared" si="55"/>
        <v>-1.2389408855826289E-3</v>
      </c>
    </row>
    <row r="119" spans="1:15" x14ac:dyDescent="0.25">
      <c r="A119" s="308"/>
      <c r="B119" s="159"/>
      <c r="C119" s="243" t="s">
        <v>194</v>
      </c>
      <c r="D119" s="155">
        <f>D115</f>
        <v>4630</v>
      </c>
      <c r="E119" s="172">
        <f t="shared" ref="E119:O120" si="56">D119+E115</f>
        <v>8374</v>
      </c>
      <c r="F119" s="172">
        <f t="shared" si="56"/>
        <v>13805</v>
      </c>
      <c r="G119" s="172">
        <f t="shared" si="56"/>
        <v>93905</v>
      </c>
      <c r="H119" s="172">
        <f t="shared" si="56"/>
        <v>186905</v>
      </c>
      <c r="I119" s="172">
        <f t="shared" si="56"/>
        <v>276905</v>
      </c>
      <c r="J119" s="172">
        <f t="shared" si="56"/>
        <v>346905</v>
      </c>
      <c r="K119" s="172">
        <f t="shared" si="56"/>
        <v>426905</v>
      </c>
      <c r="L119" s="172">
        <f t="shared" si="56"/>
        <v>508905</v>
      </c>
      <c r="M119" s="172">
        <f t="shared" si="56"/>
        <v>591405</v>
      </c>
      <c r="N119" s="172">
        <f t="shared" si="56"/>
        <v>671405</v>
      </c>
      <c r="O119" s="315">
        <f t="shared" si="56"/>
        <v>748905</v>
      </c>
    </row>
    <row r="120" spans="1:15" ht="15.75" thickBot="1" x14ac:dyDescent="0.3">
      <c r="A120" s="308"/>
      <c r="B120" s="159"/>
      <c r="C120" s="326" t="s">
        <v>195</v>
      </c>
      <c r="D120" s="327">
        <f>D116</f>
        <v>1534</v>
      </c>
      <c r="E120" s="328">
        <f t="shared" si="56"/>
        <v>54134</v>
      </c>
      <c r="F120" s="328">
        <f t="shared" si="56"/>
        <v>101134</v>
      </c>
      <c r="G120" s="328">
        <f t="shared" si="56"/>
        <v>164934</v>
      </c>
      <c r="H120" s="328">
        <f t="shared" si="56"/>
        <v>247734</v>
      </c>
      <c r="I120" s="328">
        <f t="shared" si="56"/>
        <v>328534</v>
      </c>
      <c r="J120" s="328">
        <f t="shared" si="56"/>
        <v>398834</v>
      </c>
      <c r="K120" s="328">
        <f t="shared" si="56"/>
        <v>486734</v>
      </c>
      <c r="L120" s="328">
        <f t="shared" si="56"/>
        <v>578534</v>
      </c>
      <c r="M120" s="328">
        <f t="shared" si="56"/>
        <v>659034</v>
      </c>
      <c r="N120" s="328">
        <f t="shared" si="56"/>
        <v>704634</v>
      </c>
      <c r="O120" s="329">
        <f t="shared" si="56"/>
        <v>749834</v>
      </c>
    </row>
    <row r="121" spans="1:15" ht="15.75" hidden="1" thickBot="1" x14ac:dyDescent="0.3">
      <c r="A121" s="318" t="s">
        <v>188</v>
      </c>
      <c r="B121" s="175" t="s">
        <v>230</v>
      </c>
      <c r="C121" s="234" t="s">
        <v>190</v>
      </c>
      <c r="D121" s="330">
        <v>0</v>
      </c>
      <c r="E121" s="331">
        <v>0</v>
      </c>
      <c r="F121" s="332">
        <v>0</v>
      </c>
      <c r="G121" s="332">
        <v>0</v>
      </c>
      <c r="H121" s="332">
        <v>0</v>
      </c>
      <c r="I121" s="332">
        <v>0</v>
      </c>
      <c r="J121" s="190">
        <v>0</v>
      </c>
      <c r="K121" s="333">
        <v>0</v>
      </c>
      <c r="L121" s="190">
        <v>0</v>
      </c>
      <c r="M121" s="190">
        <v>0</v>
      </c>
      <c r="N121" s="190">
        <v>0</v>
      </c>
      <c r="O121" s="334">
        <v>0</v>
      </c>
    </row>
    <row r="122" spans="1:15" ht="15.75" hidden="1" thickBot="1" x14ac:dyDescent="0.3">
      <c r="A122" s="304"/>
      <c r="B122" s="178"/>
      <c r="C122" s="335" t="s">
        <v>191</v>
      </c>
      <c r="D122" s="336">
        <v>0</v>
      </c>
      <c r="E122" s="337">
        <v>0</v>
      </c>
      <c r="F122" s="338">
        <v>0</v>
      </c>
      <c r="G122" s="338">
        <v>0</v>
      </c>
      <c r="H122" s="338">
        <v>0</v>
      </c>
      <c r="I122" s="338">
        <v>0</v>
      </c>
      <c r="J122" s="181">
        <v>0</v>
      </c>
      <c r="K122" s="183">
        <v>0</v>
      </c>
      <c r="L122" s="181">
        <v>0</v>
      </c>
      <c r="M122" s="181">
        <v>0</v>
      </c>
      <c r="N122" s="181">
        <v>0</v>
      </c>
      <c r="O122" s="339">
        <v>0</v>
      </c>
    </row>
    <row r="123" spans="1:15" ht="15.75" hidden="1" thickBot="1" x14ac:dyDescent="0.3">
      <c r="A123" s="308"/>
      <c r="B123" s="178"/>
      <c r="C123" s="243" t="s">
        <v>192</v>
      </c>
      <c r="D123" s="244" t="e">
        <f>(D121/D122)-1</f>
        <v>#DIV/0!</v>
      </c>
      <c r="E123" s="167" t="e">
        <f t="shared" ref="E123:J123" si="57">(E121/E122)-1</f>
        <v>#DIV/0!</v>
      </c>
      <c r="F123" s="167" t="e">
        <f t="shared" si="57"/>
        <v>#DIV/0!</v>
      </c>
      <c r="G123" s="167" t="e">
        <f t="shared" si="57"/>
        <v>#DIV/0!</v>
      </c>
      <c r="H123" s="167" t="e">
        <f t="shared" si="57"/>
        <v>#DIV/0!</v>
      </c>
      <c r="I123" s="167" t="e">
        <f t="shared" si="57"/>
        <v>#DIV/0!</v>
      </c>
      <c r="J123" s="167" t="e">
        <f t="shared" si="57"/>
        <v>#DIV/0!</v>
      </c>
      <c r="K123" s="168" t="e">
        <f>(K121/K122)-1</f>
        <v>#DIV/0!</v>
      </c>
      <c r="L123" s="167" t="e">
        <f>(L121/L122)-1</f>
        <v>#DIV/0!</v>
      </c>
      <c r="M123" s="167" t="e">
        <f>(M121/M122)-1</f>
        <v>#DIV/0!</v>
      </c>
      <c r="N123" s="167" t="e">
        <f>(N121/N122)-1</f>
        <v>#DIV/0!</v>
      </c>
      <c r="O123" s="309" t="e">
        <f>(O121/O122)-1</f>
        <v>#DIV/0!</v>
      </c>
    </row>
    <row r="124" spans="1:15" ht="15.75" hidden="1" thickBot="1" x14ac:dyDescent="0.3">
      <c r="A124" s="308"/>
      <c r="B124" s="178"/>
      <c r="C124" s="340" t="s">
        <v>193</v>
      </c>
      <c r="D124" s="341" t="e">
        <f>(D125/D126)-1</f>
        <v>#DIV/0!</v>
      </c>
      <c r="E124" s="185" t="e">
        <f t="shared" ref="E124:J124" si="58">(E125/E126)-1</f>
        <v>#DIV/0!</v>
      </c>
      <c r="F124" s="185" t="e">
        <f t="shared" si="58"/>
        <v>#DIV/0!</v>
      </c>
      <c r="G124" s="185" t="e">
        <f t="shared" si="58"/>
        <v>#DIV/0!</v>
      </c>
      <c r="H124" s="185" t="e">
        <f t="shared" si="58"/>
        <v>#DIV/0!</v>
      </c>
      <c r="I124" s="185" t="e">
        <f t="shared" si="58"/>
        <v>#DIV/0!</v>
      </c>
      <c r="J124" s="185" t="e">
        <f t="shared" si="58"/>
        <v>#DIV/0!</v>
      </c>
      <c r="K124" s="186" t="e">
        <f>(K125/K126)-1</f>
        <v>#DIV/0!</v>
      </c>
      <c r="L124" s="185" t="e">
        <f>(L125/L126)-1</f>
        <v>#DIV/0!</v>
      </c>
      <c r="M124" s="185" t="e">
        <f>(M125/M126)-1</f>
        <v>#DIV/0!</v>
      </c>
      <c r="N124" s="185" t="e">
        <f>(N125/N126)-1</f>
        <v>#DIV/0!</v>
      </c>
      <c r="O124" s="342" t="e">
        <f>(O125/O126)-1</f>
        <v>#DIV/0!</v>
      </c>
    </row>
    <row r="125" spans="1:15" ht="15.75" hidden="1" thickBot="1" x14ac:dyDescent="0.3">
      <c r="A125" s="308"/>
      <c r="B125" s="178"/>
      <c r="C125" s="243" t="s">
        <v>194</v>
      </c>
      <c r="D125" s="155">
        <f>D121</f>
        <v>0</v>
      </c>
      <c r="E125" s="172">
        <f t="shared" ref="E125:O126" si="59">D125+E121</f>
        <v>0</v>
      </c>
      <c r="F125" s="172">
        <f t="shared" si="59"/>
        <v>0</v>
      </c>
      <c r="G125" s="172">
        <f t="shared" si="59"/>
        <v>0</v>
      </c>
      <c r="H125" s="172">
        <f t="shared" si="59"/>
        <v>0</v>
      </c>
      <c r="I125" s="172">
        <f t="shared" si="59"/>
        <v>0</v>
      </c>
      <c r="J125" s="172">
        <f t="shared" si="59"/>
        <v>0</v>
      </c>
      <c r="K125" s="172">
        <f t="shared" si="59"/>
        <v>0</v>
      </c>
      <c r="L125" s="172">
        <f t="shared" si="59"/>
        <v>0</v>
      </c>
      <c r="M125" s="172">
        <f t="shared" si="59"/>
        <v>0</v>
      </c>
      <c r="N125" s="172">
        <f t="shared" si="59"/>
        <v>0</v>
      </c>
      <c r="O125" s="315">
        <f t="shared" si="59"/>
        <v>0</v>
      </c>
    </row>
    <row r="126" spans="1:15" ht="15.75" hidden="1" thickBot="1" x14ac:dyDescent="0.3">
      <c r="A126" s="308"/>
      <c r="B126" s="187"/>
      <c r="C126" s="343" t="s">
        <v>195</v>
      </c>
      <c r="D126" s="180">
        <f>D122</f>
        <v>0</v>
      </c>
      <c r="E126" s="181">
        <f t="shared" si="59"/>
        <v>0</v>
      </c>
      <c r="F126" s="181">
        <f t="shared" si="59"/>
        <v>0</v>
      </c>
      <c r="G126" s="181">
        <f t="shared" si="59"/>
        <v>0</v>
      </c>
      <c r="H126" s="181">
        <f t="shared" si="59"/>
        <v>0</v>
      </c>
      <c r="I126" s="181">
        <f t="shared" si="59"/>
        <v>0</v>
      </c>
      <c r="J126" s="181">
        <f t="shared" si="59"/>
        <v>0</v>
      </c>
      <c r="K126" s="181">
        <f t="shared" si="59"/>
        <v>0</v>
      </c>
      <c r="L126" s="181">
        <f t="shared" si="59"/>
        <v>0</v>
      </c>
      <c r="M126" s="181">
        <f t="shared" si="59"/>
        <v>0</v>
      </c>
      <c r="N126" s="181">
        <f t="shared" si="59"/>
        <v>0</v>
      </c>
      <c r="O126" s="339">
        <f t="shared" si="59"/>
        <v>0</v>
      </c>
    </row>
    <row r="127" spans="1:15" x14ac:dyDescent="0.25">
      <c r="A127" s="344" t="s">
        <v>207</v>
      </c>
      <c r="B127" s="205" t="s">
        <v>231</v>
      </c>
      <c r="C127" s="234" t="s">
        <v>190</v>
      </c>
      <c r="D127" s="233">
        <v>39728.300000000003</v>
      </c>
      <c r="E127" s="235">
        <v>50781.74</v>
      </c>
      <c r="F127" s="190">
        <v>35288.660000000003</v>
      </c>
      <c r="G127" s="190">
        <v>47400.72</v>
      </c>
      <c r="H127" s="190">
        <v>38559.42</v>
      </c>
      <c r="I127" s="190">
        <v>14406</v>
      </c>
      <c r="J127" s="190">
        <v>53940.05</v>
      </c>
      <c r="K127" s="237">
        <v>43577.05</v>
      </c>
      <c r="L127" s="190">
        <v>44673.89</v>
      </c>
      <c r="M127" s="190">
        <v>53885.39</v>
      </c>
      <c r="N127" s="190">
        <v>56803.67</v>
      </c>
      <c r="O127" s="334">
        <v>48376.9</v>
      </c>
    </row>
    <row r="128" spans="1:15" ht="15.75" thickBot="1" x14ac:dyDescent="0.3">
      <c r="A128" s="345"/>
      <c r="B128" s="208"/>
      <c r="C128" s="238" t="s">
        <v>191</v>
      </c>
      <c r="D128" s="239">
        <v>33739.4</v>
      </c>
      <c r="E128" s="240">
        <v>43393.54</v>
      </c>
      <c r="F128" s="241">
        <v>24512.080000000002</v>
      </c>
      <c r="G128" s="241">
        <v>39982.28</v>
      </c>
      <c r="H128" s="241">
        <v>60421.95</v>
      </c>
      <c r="I128" s="346">
        <v>51550.53</v>
      </c>
      <c r="J128" s="241">
        <v>43500.639999999999</v>
      </c>
      <c r="K128" s="242">
        <v>52069.599999999999</v>
      </c>
      <c r="L128" s="241">
        <v>60315.12</v>
      </c>
      <c r="M128" s="241">
        <v>46645.5</v>
      </c>
      <c r="N128" s="241">
        <v>53626.76</v>
      </c>
      <c r="O128" s="347">
        <v>55433.760000000002</v>
      </c>
    </row>
    <row r="129" spans="1:15" x14ac:dyDescent="0.25">
      <c r="A129" s="308"/>
      <c r="B129" s="208"/>
      <c r="C129" s="243" t="s">
        <v>192</v>
      </c>
      <c r="D129" s="244">
        <f>(D127/D128)-1</f>
        <v>0.17750463849386766</v>
      </c>
      <c r="E129" s="167">
        <f t="shared" ref="E129:J129" si="60">(E127/E128)-1</f>
        <v>0.17026036594387084</v>
      </c>
      <c r="F129" s="167">
        <f t="shared" si="60"/>
        <v>0.43964363693329989</v>
      </c>
      <c r="G129" s="167">
        <f t="shared" si="60"/>
        <v>0.18554319563566657</v>
      </c>
      <c r="H129" s="167">
        <f t="shared" si="60"/>
        <v>-0.36183092402678163</v>
      </c>
      <c r="I129" s="167">
        <f t="shared" si="60"/>
        <v>-0.72054603512320825</v>
      </c>
      <c r="J129" s="167">
        <f t="shared" si="60"/>
        <v>0.23998290599862449</v>
      </c>
      <c r="K129" s="168">
        <f>(K127/K128)-1</f>
        <v>-0.16309996619908729</v>
      </c>
      <c r="L129" s="167">
        <f>(L127/L128)-1</f>
        <v>-0.25932519076477012</v>
      </c>
      <c r="M129" s="167">
        <f>(M127/M128)-1</f>
        <v>0.15521089922929332</v>
      </c>
      <c r="N129" s="167">
        <f>(N127/N128)-1</f>
        <v>5.9241132598724988E-2</v>
      </c>
      <c r="O129" s="309">
        <f>(O127/O128)-1</f>
        <v>-0.12730256796580275</v>
      </c>
    </row>
    <row r="130" spans="1:15" x14ac:dyDescent="0.25">
      <c r="A130" s="308"/>
      <c r="B130" s="208"/>
      <c r="C130" s="245" t="s">
        <v>193</v>
      </c>
      <c r="D130" s="213">
        <f>(D131/D132)-1</f>
        <v>0.17750463849386766</v>
      </c>
      <c r="E130" s="246">
        <f t="shared" ref="E130:J130" si="61">(E131/E132)-1</f>
        <v>0.17342914713221114</v>
      </c>
      <c r="F130" s="246">
        <f t="shared" si="61"/>
        <v>0.23762777556637804</v>
      </c>
      <c r="G130" s="246">
        <f t="shared" si="61"/>
        <v>0.2229239701667689</v>
      </c>
      <c r="H130" s="246">
        <f t="shared" si="61"/>
        <v>4.8055560711064427E-2</v>
      </c>
      <c r="I130" s="246">
        <f t="shared" si="61"/>
        <v>-0.10818203391185899</v>
      </c>
      <c r="J130" s="246">
        <f t="shared" si="61"/>
        <v>-5.7204665008551592E-2</v>
      </c>
      <c r="K130" s="247">
        <f>(K131/K132)-1</f>
        <v>-7.2996186786024597E-2</v>
      </c>
      <c r="L130" s="246">
        <f>(L131/L132)-1</f>
        <v>-0.10044152029546161</v>
      </c>
      <c r="M130" s="246">
        <f>(M131/M132)-1</f>
        <v>-7.4297617892978951E-2</v>
      </c>
      <c r="N130" s="246">
        <f>(N131/N132)-1</f>
        <v>-6.0249267592780265E-2</v>
      </c>
      <c r="O130" s="348">
        <f>(O131/O132)-1</f>
        <v>-6.6825832873960489E-2</v>
      </c>
    </row>
    <row r="131" spans="1:15" x14ac:dyDescent="0.25">
      <c r="A131" s="308"/>
      <c r="B131" s="208"/>
      <c r="C131" s="243" t="s">
        <v>194</v>
      </c>
      <c r="D131" s="155">
        <f>D127</f>
        <v>39728.300000000003</v>
      </c>
      <c r="E131" s="172">
        <f t="shared" ref="E131:O132" si="62">D131+E127</f>
        <v>90510.040000000008</v>
      </c>
      <c r="F131" s="172">
        <f t="shared" si="62"/>
        <v>125798.70000000001</v>
      </c>
      <c r="G131" s="172">
        <f t="shared" si="62"/>
        <v>173199.42</v>
      </c>
      <c r="H131" s="172">
        <f t="shared" si="62"/>
        <v>211758.84000000003</v>
      </c>
      <c r="I131" s="172">
        <f t="shared" si="62"/>
        <v>226164.84000000003</v>
      </c>
      <c r="J131" s="172">
        <f t="shared" si="62"/>
        <v>280104.89</v>
      </c>
      <c r="K131" s="172">
        <f t="shared" si="62"/>
        <v>323681.94</v>
      </c>
      <c r="L131" s="172">
        <f t="shared" si="62"/>
        <v>368355.83</v>
      </c>
      <c r="M131" s="172">
        <f t="shared" si="62"/>
        <v>422241.22000000003</v>
      </c>
      <c r="N131" s="172">
        <f t="shared" si="62"/>
        <v>479044.89</v>
      </c>
      <c r="O131" s="315">
        <f t="shared" si="62"/>
        <v>527421.79</v>
      </c>
    </row>
    <row r="132" spans="1:15" ht="15.75" thickBot="1" x14ac:dyDescent="0.3">
      <c r="A132" s="308"/>
      <c r="B132" s="208"/>
      <c r="C132" s="249" t="s">
        <v>195</v>
      </c>
      <c r="D132" s="349">
        <f>D128</f>
        <v>33739.4</v>
      </c>
      <c r="E132" s="350">
        <f t="shared" si="62"/>
        <v>77132.94</v>
      </c>
      <c r="F132" s="350">
        <f t="shared" si="62"/>
        <v>101645.02</v>
      </c>
      <c r="G132" s="350">
        <f t="shared" si="62"/>
        <v>141627.29999999999</v>
      </c>
      <c r="H132" s="350">
        <f t="shared" si="62"/>
        <v>202049.25</v>
      </c>
      <c r="I132" s="350">
        <f t="shared" si="62"/>
        <v>253599.78</v>
      </c>
      <c r="J132" s="350">
        <f t="shared" si="62"/>
        <v>297100.42</v>
      </c>
      <c r="K132" s="350">
        <f t="shared" si="62"/>
        <v>349170.01999999996</v>
      </c>
      <c r="L132" s="350">
        <f t="shared" si="62"/>
        <v>409485.13999999996</v>
      </c>
      <c r="M132" s="350">
        <f t="shared" si="62"/>
        <v>456130.63999999996</v>
      </c>
      <c r="N132" s="350">
        <f t="shared" si="62"/>
        <v>509757.39999999997</v>
      </c>
      <c r="O132" s="351">
        <f t="shared" si="62"/>
        <v>565191.15999999992</v>
      </c>
    </row>
    <row r="133" spans="1:15" ht="15.75" hidden="1" thickBot="1" x14ac:dyDescent="0.3">
      <c r="A133" s="344" t="s">
        <v>207</v>
      </c>
      <c r="B133" s="224" t="s">
        <v>232</v>
      </c>
      <c r="C133" s="234" t="s">
        <v>190</v>
      </c>
      <c r="D133" s="352">
        <v>0</v>
      </c>
      <c r="E133" s="332">
        <v>0</v>
      </c>
      <c r="F133" s="332">
        <v>0</v>
      </c>
      <c r="G133" s="332">
        <v>0</v>
      </c>
      <c r="H133" s="332">
        <v>0</v>
      </c>
      <c r="I133" s="332">
        <v>0</v>
      </c>
      <c r="J133" s="190">
        <v>0</v>
      </c>
      <c r="K133" s="237">
        <v>0</v>
      </c>
      <c r="L133" s="190">
        <v>0</v>
      </c>
      <c r="M133" s="190">
        <v>0</v>
      </c>
      <c r="N133" s="190">
        <v>0</v>
      </c>
      <c r="O133" s="334">
        <v>0</v>
      </c>
    </row>
    <row r="134" spans="1:15" ht="15.75" hidden="1" thickBot="1" x14ac:dyDescent="0.3">
      <c r="A134" s="345"/>
      <c r="B134" s="226"/>
      <c r="C134" s="305" t="s">
        <v>191</v>
      </c>
      <c r="D134" s="353">
        <v>0</v>
      </c>
      <c r="E134" s="354">
        <v>0</v>
      </c>
      <c r="F134" s="354">
        <v>0</v>
      </c>
      <c r="G134" s="354">
        <v>0</v>
      </c>
      <c r="H134" s="354">
        <v>0</v>
      </c>
      <c r="I134" s="354">
        <v>0</v>
      </c>
      <c r="J134" s="229">
        <v>0</v>
      </c>
      <c r="K134" s="230">
        <v>0</v>
      </c>
      <c r="L134" s="229">
        <v>0</v>
      </c>
      <c r="M134" s="229">
        <v>0</v>
      </c>
      <c r="N134" s="229">
        <v>0</v>
      </c>
      <c r="O134" s="307">
        <v>0</v>
      </c>
    </row>
    <row r="135" spans="1:15" ht="15.75" hidden="1" thickBot="1" x14ac:dyDescent="0.3">
      <c r="A135" s="308"/>
      <c r="B135" s="226"/>
      <c r="C135" s="243" t="s">
        <v>192</v>
      </c>
      <c r="D135" s="355" t="e">
        <f>(D133/D134)-1</f>
        <v>#DIV/0!</v>
      </c>
      <c r="E135" s="356" t="e">
        <f t="shared" ref="E135:J135" si="63">(E133/E134)-1</f>
        <v>#DIV/0!</v>
      </c>
      <c r="F135" s="356" t="e">
        <f t="shared" si="63"/>
        <v>#DIV/0!</v>
      </c>
      <c r="G135" s="356" t="e">
        <f t="shared" si="63"/>
        <v>#DIV/0!</v>
      </c>
      <c r="H135" s="356" t="e">
        <f t="shared" si="63"/>
        <v>#DIV/0!</v>
      </c>
      <c r="I135" s="356" t="e">
        <f t="shared" si="63"/>
        <v>#DIV/0!</v>
      </c>
      <c r="J135" s="356" t="e">
        <f t="shared" si="63"/>
        <v>#DIV/0!</v>
      </c>
      <c r="K135" s="168" t="e">
        <f>(K133/K134)-1</f>
        <v>#DIV/0!</v>
      </c>
      <c r="L135" s="167" t="e">
        <f>(L133/L134)-1</f>
        <v>#DIV/0!</v>
      </c>
      <c r="M135" s="167" t="e">
        <f>(M133/M134)-1</f>
        <v>#DIV/0!</v>
      </c>
      <c r="N135" s="167" t="e">
        <f>(N133/N134)-1</f>
        <v>#DIV/0!</v>
      </c>
      <c r="O135" s="309" t="e">
        <f>(O133/O134)-1</f>
        <v>#DIV/0!</v>
      </c>
    </row>
    <row r="136" spans="1:15" ht="15.75" hidden="1" thickBot="1" x14ac:dyDescent="0.3">
      <c r="A136" s="308"/>
      <c r="B136" s="226"/>
      <c r="C136" s="310" t="s">
        <v>193</v>
      </c>
      <c r="D136" s="357" t="e">
        <f>(D137/D138)-1</f>
        <v>#DIV/0!</v>
      </c>
      <c r="E136" s="358" t="e">
        <f t="shared" ref="E136:J136" si="64">(E137/E138)-1</f>
        <v>#DIV/0!</v>
      </c>
      <c r="F136" s="358" t="e">
        <f t="shared" si="64"/>
        <v>#DIV/0!</v>
      </c>
      <c r="G136" s="358" t="e">
        <f t="shared" si="64"/>
        <v>#DIV/0!</v>
      </c>
      <c r="H136" s="358" t="e">
        <f t="shared" si="64"/>
        <v>#DIV/0!</v>
      </c>
      <c r="I136" s="358" t="e">
        <f t="shared" si="64"/>
        <v>#DIV/0!</v>
      </c>
      <c r="J136" s="358" t="e">
        <f t="shared" si="64"/>
        <v>#DIV/0!</v>
      </c>
      <c r="K136" s="313" t="e">
        <f>(K137/K138)-1</f>
        <v>#DIV/0!</v>
      </c>
      <c r="L136" s="312" t="e">
        <f>(L137/L138)-1</f>
        <v>#DIV/0!</v>
      </c>
      <c r="M136" s="312" t="e">
        <f>(M137/M138)-1</f>
        <v>#DIV/0!</v>
      </c>
      <c r="N136" s="312" t="e">
        <f>(N137/N138)-1</f>
        <v>#DIV/0!</v>
      </c>
      <c r="O136" s="314" t="e">
        <f>(O137/O138)-1</f>
        <v>#DIV/0!</v>
      </c>
    </row>
    <row r="137" spans="1:15" ht="15.75" hidden="1" thickBot="1" x14ac:dyDescent="0.3">
      <c r="A137" s="308"/>
      <c r="B137" s="226"/>
      <c r="C137" s="243" t="s">
        <v>194</v>
      </c>
      <c r="D137" s="155">
        <f>D133</f>
        <v>0</v>
      </c>
      <c r="E137" s="172">
        <f>D137+E133</f>
        <v>0</v>
      </c>
      <c r="F137" s="172">
        <f>E137+F133</f>
        <v>0</v>
      </c>
      <c r="G137" s="172">
        <f t="shared" ref="G137:J138" si="65">F137+G133</f>
        <v>0</v>
      </c>
      <c r="H137" s="172">
        <f t="shared" si="65"/>
        <v>0</v>
      </c>
      <c r="I137" s="172">
        <f t="shared" si="65"/>
        <v>0</v>
      </c>
      <c r="J137" s="172">
        <f t="shared" si="65"/>
        <v>0</v>
      </c>
      <c r="K137" s="172">
        <f>J137+K133</f>
        <v>0</v>
      </c>
      <c r="L137" s="172">
        <f t="shared" ref="L137:O138" si="66">K137+L133</f>
        <v>0</v>
      </c>
      <c r="M137" s="172">
        <f t="shared" si="66"/>
        <v>0</v>
      </c>
      <c r="N137" s="172">
        <f t="shared" si="66"/>
        <v>0</v>
      </c>
      <c r="O137" s="315">
        <f t="shared" si="66"/>
        <v>0</v>
      </c>
    </row>
    <row r="138" spans="1:15" ht="15.75" hidden="1" thickBot="1" x14ac:dyDescent="0.3">
      <c r="A138" s="308"/>
      <c r="B138" s="231"/>
      <c r="C138" s="316" t="s">
        <v>195</v>
      </c>
      <c r="D138" s="228">
        <f>D134</f>
        <v>0</v>
      </c>
      <c r="E138" s="229">
        <f>D138+E134</f>
        <v>0</v>
      </c>
      <c r="F138" s="229">
        <f>E138+F134</f>
        <v>0</v>
      </c>
      <c r="G138" s="229">
        <f>F138+G134</f>
        <v>0</v>
      </c>
      <c r="H138" s="229">
        <f>G138+H134</f>
        <v>0</v>
      </c>
      <c r="I138" s="359">
        <f>H138+I134</f>
        <v>0</v>
      </c>
      <c r="J138" s="359">
        <f t="shared" si="65"/>
        <v>0</v>
      </c>
      <c r="K138" s="359">
        <f>J138+K134</f>
        <v>0</v>
      </c>
      <c r="L138" s="359">
        <f t="shared" si="66"/>
        <v>0</v>
      </c>
      <c r="M138" s="359">
        <f t="shared" si="66"/>
        <v>0</v>
      </c>
      <c r="N138" s="359">
        <f t="shared" si="66"/>
        <v>0</v>
      </c>
      <c r="O138" s="360">
        <f t="shared" si="66"/>
        <v>0</v>
      </c>
    </row>
    <row r="139" spans="1:15" x14ac:dyDescent="0.25">
      <c r="A139" s="344" t="s">
        <v>207</v>
      </c>
      <c r="B139" s="153" t="s">
        <v>233</v>
      </c>
      <c r="C139" s="234" t="s">
        <v>190</v>
      </c>
      <c r="D139" s="177">
        <v>25732</v>
      </c>
      <c r="E139" s="190">
        <v>30066</v>
      </c>
      <c r="F139" s="190">
        <v>42695</v>
      </c>
      <c r="G139" s="190">
        <v>61347</v>
      </c>
      <c r="H139" s="190">
        <v>33568</v>
      </c>
      <c r="I139" s="190">
        <v>56708</v>
      </c>
      <c r="J139" s="190">
        <v>42436</v>
      </c>
      <c r="K139" s="332">
        <v>77952</v>
      </c>
      <c r="L139" s="190">
        <v>37601</v>
      </c>
      <c r="M139" s="190">
        <v>39788</v>
      </c>
      <c r="N139" s="190">
        <v>43817</v>
      </c>
      <c r="O139" s="334"/>
    </row>
    <row r="140" spans="1:15" ht="15.75" thickBot="1" x14ac:dyDescent="0.3">
      <c r="A140" s="345"/>
      <c r="B140" s="159"/>
      <c r="C140" s="292" t="s">
        <v>191</v>
      </c>
      <c r="D140" s="161">
        <v>23329.55</v>
      </c>
      <c r="E140" s="162">
        <v>29628</v>
      </c>
      <c r="F140" s="162">
        <v>22864.7</v>
      </c>
      <c r="G140" s="162">
        <v>39003.01</v>
      </c>
      <c r="H140" s="162">
        <v>50901.17</v>
      </c>
      <c r="I140" s="321">
        <v>62199</v>
      </c>
      <c r="J140" s="162">
        <v>36325</v>
      </c>
      <c r="K140" s="321">
        <v>52437</v>
      </c>
      <c r="L140" s="162">
        <v>65520</v>
      </c>
      <c r="M140" s="162">
        <v>50742</v>
      </c>
      <c r="N140" s="162">
        <v>38471</v>
      </c>
      <c r="O140" s="322">
        <v>47538</v>
      </c>
    </row>
    <row r="141" spans="1:15" x14ac:dyDescent="0.25">
      <c r="A141" s="308"/>
      <c r="B141" s="159"/>
      <c r="C141" s="243" t="s">
        <v>192</v>
      </c>
      <c r="D141" s="244">
        <f>(D139/D140)-1</f>
        <v>0.10297884014050851</v>
      </c>
      <c r="E141" s="167">
        <f t="shared" ref="E141:J141" si="67">(E139/E140)-1</f>
        <v>1.4783313082219474E-2</v>
      </c>
      <c r="F141" s="167">
        <f t="shared" si="67"/>
        <v>0.86728887761483864</v>
      </c>
      <c r="G141" s="167">
        <f t="shared" si="67"/>
        <v>0.57287860603579044</v>
      </c>
      <c r="H141" s="167">
        <f t="shared" si="67"/>
        <v>-0.34052596433441507</v>
      </c>
      <c r="I141" s="167">
        <f t="shared" si="67"/>
        <v>-8.8281162076560671E-2</v>
      </c>
      <c r="J141" s="167">
        <f t="shared" si="67"/>
        <v>0.16823124569855463</v>
      </c>
      <c r="K141" s="168">
        <f>(K139/K140)-1</f>
        <v>0.48658390068081703</v>
      </c>
      <c r="L141" s="167">
        <f>(L139/L140)-1</f>
        <v>-0.42611416361416365</v>
      </c>
      <c r="M141" s="167">
        <f>(M139/M140)-1</f>
        <v>-0.21587639430846239</v>
      </c>
      <c r="N141" s="167">
        <f>(N139/N140)-1</f>
        <v>0.13896181539341312</v>
      </c>
      <c r="O141" s="309">
        <f>(O139/O140)-1</f>
        <v>-1</v>
      </c>
    </row>
    <row r="142" spans="1:15" x14ac:dyDescent="0.25">
      <c r="A142" s="308"/>
      <c r="B142" s="159"/>
      <c r="C142" s="323" t="s">
        <v>193</v>
      </c>
      <c r="D142" s="324">
        <f>(D143/D144)-1</f>
        <v>0.10297884014050851</v>
      </c>
      <c r="E142" s="170">
        <f t="shared" ref="E142:J142" si="68">(E143/E144)-1</f>
        <v>5.3636355911480083E-2</v>
      </c>
      <c r="F142" s="170">
        <f t="shared" si="68"/>
        <v>0.29899864485688576</v>
      </c>
      <c r="G142" s="170">
        <f t="shared" si="68"/>
        <v>0.39202820006677963</v>
      </c>
      <c r="H142" s="170">
        <f t="shared" si="68"/>
        <v>0.16703171606363587</v>
      </c>
      <c r="I142" s="170">
        <f t="shared" si="68"/>
        <v>9.7358903743211211E-2</v>
      </c>
      <c r="J142" s="170">
        <f t="shared" si="68"/>
        <v>0.10710132051629961</v>
      </c>
      <c r="K142" s="171">
        <f>(K143/K144)-1</f>
        <v>0.16993592072789254</v>
      </c>
      <c r="L142" s="170">
        <f>(L143/L144)-1</f>
        <v>6.7757892618675708E-2</v>
      </c>
      <c r="M142" s="170">
        <f>(M143/M144)-1</f>
        <v>3.4515740094634095E-2</v>
      </c>
      <c r="N142" s="170">
        <f>(N143/N144)-1</f>
        <v>4.3039225092557087E-2</v>
      </c>
      <c r="O142" s="325">
        <f>(O143/O144)-1</f>
        <v>-5.2505997445691399E-2</v>
      </c>
    </row>
    <row r="143" spans="1:15" x14ac:dyDescent="0.25">
      <c r="A143" s="308"/>
      <c r="B143" s="159"/>
      <c r="C143" s="243" t="s">
        <v>194</v>
      </c>
      <c r="D143" s="155">
        <f>D139</f>
        <v>25732</v>
      </c>
      <c r="E143" s="172">
        <f t="shared" ref="E143:O144" si="69">D143+E139</f>
        <v>55798</v>
      </c>
      <c r="F143" s="172">
        <f t="shared" si="69"/>
        <v>98493</v>
      </c>
      <c r="G143" s="172">
        <f t="shared" si="69"/>
        <v>159840</v>
      </c>
      <c r="H143" s="172">
        <f t="shared" si="69"/>
        <v>193408</v>
      </c>
      <c r="I143" s="172">
        <f t="shared" si="69"/>
        <v>250116</v>
      </c>
      <c r="J143" s="172">
        <f t="shared" si="69"/>
        <v>292552</v>
      </c>
      <c r="K143" s="172">
        <f t="shared" si="69"/>
        <v>370504</v>
      </c>
      <c r="L143" s="172">
        <f t="shared" si="69"/>
        <v>408105</v>
      </c>
      <c r="M143" s="172">
        <f t="shared" si="69"/>
        <v>447893</v>
      </c>
      <c r="N143" s="172">
        <f t="shared" si="69"/>
        <v>491710</v>
      </c>
      <c r="O143" s="315">
        <f t="shared" si="69"/>
        <v>491710</v>
      </c>
    </row>
    <row r="144" spans="1:15" ht="15.75" thickBot="1" x14ac:dyDescent="0.3">
      <c r="A144" s="308"/>
      <c r="B144" s="173"/>
      <c r="C144" s="326" t="s">
        <v>195</v>
      </c>
      <c r="D144" s="327">
        <f>D140</f>
        <v>23329.55</v>
      </c>
      <c r="E144" s="328">
        <f t="shared" si="69"/>
        <v>52957.55</v>
      </c>
      <c r="F144" s="328">
        <f t="shared" si="69"/>
        <v>75822.25</v>
      </c>
      <c r="G144" s="328">
        <f t="shared" si="69"/>
        <v>114825.26000000001</v>
      </c>
      <c r="H144" s="328">
        <f t="shared" si="69"/>
        <v>165726.43</v>
      </c>
      <c r="I144" s="328">
        <f t="shared" si="69"/>
        <v>227925.43</v>
      </c>
      <c r="J144" s="328">
        <f t="shared" si="69"/>
        <v>264250.43</v>
      </c>
      <c r="K144" s="328">
        <f t="shared" si="69"/>
        <v>316687.43</v>
      </c>
      <c r="L144" s="328">
        <f t="shared" si="69"/>
        <v>382207.43</v>
      </c>
      <c r="M144" s="328">
        <f t="shared" si="69"/>
        <v>432949.43</v>
      </c>
      <c r="N144" s="328">
        <f t="shared" si="69"/>
        <v>471420.43</v>
      </c>
      <c r="O144" s="329">
        <f t="shared" si="69"/>
        <v>518958.43</v>
      </c>
    </row>
    <row r="145" spans="1:16" ht="15.75" hidden="1" thickBot="1" x14ac:dyDescent="0.3">
      <c r="A145" s="344" t="s">
        <v>207</v>
      </c>
      <c r="B145" s="175" t="s">
        <v>234</v>
      </c>
      <c r="C145" s="234" t="s">
        <v>190</v>
      </c>
      <c r="D145" s="330">
        <v>0</v>
      </c>
      <c r="E145" s="331">
        <v>0</v>
      </c>
      <c r="F145" s="332">
        <v>0</v>
      </c>
      <c r="G145" s="332">
        <v>0</v>
      </c>
      <c r="H145" s="332">
        <v>0</v>
      </c>
      <c r="I145" s="332">
        <v>0</v>
      </c>
      <c r="J145" s="190">
        <v>0</v>
      </c>
      <c r="K145" s="190">
        <v>0</v>
      </c>
      <c r="L145" s="190">
        <v>0</v>
      </c>
      <c r="M145" s="190">
        <v>0</v>
      </c>
      <c r="N145" s="190">
        <v>0</v>
      </c>
      <c r="O145" s="334">
        <v>0</v>
      </c>
    </row>
    <row r="146" spans="1:16" ht="15.75" hidden="1" thickBot="1" x14ac:dyDescent="0.3">
      <c r="A146" s="345"/>
      <c r="B146" s="178"/>
      <c r="C146" s="335" t="s">
        <v>191</v>
      </c>
      <c r="D146" s="361">
        <v>0</v>
      </c>
      <c r="E146" s="362">
        <v>0</v>
      </c>
      <c r="F146" s="338">
        <v>0</v>
      </c>
      <c r="G146" s="338">
        <v>0</v>
      </c>
      <c r="H146" s="338">
        <v>0</v>
      </c>
      <c r="I146" s="338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339">
        <v>0</v>
      </c>
    </row>
    <row r="147" spans="1:16" ht="15.75" hidden="1" thickBot="1" x14ac:dyDescent="0.3">
      <c r="A147" s="308"/>
      <c r="B147" s="178"/>
      <c r="C147" s="243" t="s">
        <v>192</v>
      </c>
      <c r="D147" s="244" t="e">
        <f>(D145/D146)-1</f>
        <v>#DIV/0!</v>
      </c>
      <c r="E147" s="167" t="e">
        <f t="shared" ref="E147:J147" si="70">(E145/E146)-1</f>
        <v>#DIV/0!</v>
      </c>
      <c r="F147" s="167" t="e">
        <f t="shared" si="70"/>
        <v>#DIV/0!</v>
      </c>
      <c r="G147" s="167" t="e">
        <f t="shared" si="70"/>
        <v>#DIV/0!</v>
      </c>
      <c r="H147" s="167" t="e">
        <f t="shared" si="70"/>
        <v>#DIV/0!</v>
      </c>
      <c r="I147" s="167" t="e">
        <f t="shared" si="70"/>
        <v>#DIV/0!</v>
      </c>
      <c r="J147" s="167" t="e">
        <f t="shared" si="70"/>
        <v>#DIV/0!</v>
      </c>
      <c r="K147" s="168" t="e">
        <f>(K145/K146)-1</f>
        <v>#DIV/0!</v>
      </c>
      <c r="L147" s="167" t="e">
        <f>(L145/L146)-1</f>
        <v>#DIV/0!</v>
      </c>
      <c r="M147" s="167" t="e">
        <f>(M145/M146)-1</f>
        <v>#DIV/0!</v>
      </c>
      <c r="N147" s="167" t="e">
        <f>(N145/N146)-1</f>
        <v>#DIV/0!</v>
      </c>
      <c r="O147" s="309" t="e">
        <f>(O145/O146)-1</f>
        <v>#DIV/0!</v>
      </c>
    </row>
    <row r="148" spans="1:16" ht="15.75" hidden="1" thickBot="1" x14ac:dyDescent="0.3">
      <c r="A148" s="308"/>
      <c r="B148" s="178"/>
      <c r="C148" s="340" t="s">
        <v>193</v>
      </c>
      <c r="D148" s="341" t="e">
        <f>(D149/D150)-1</f>
        <v>#DIV/0!</v>
      </c>
      <c r="E148" s="185" t="e">
        <f t="shared" ref="E148:J148" si="71">(E149/E150)-1</f>
        <v>#DIV/0!</v>
      </c>
      <c r="F148" s="185" t="e">
        <f t="shared" si="71"/>
        <v>#DIV/0!</v>
      </c>
      <c r="G148" s="185" t="e">
        <f t="shared" si="71"/>
        <v>#DIV/0!</v>
      </c>
      <c r="H148" s="185" t="e">
        <f t="shared" si="71"/>
        <v>#DIV/0!</v>
      </c>
      <c r="I148" s="185" t="e">
        <f t="shared" si="71"/>
        <v>#DIV/0!</v>
      </c>
      <c r="J148" s="185" t="e">
        <f t="shared" si="71"/>
        <v>#DIV/0!</v>
      </c>
      <c r="K148" s="186" t="e">
        <f>(K149/K150)-1</f>
        <v>#DIV/0!</v>
      </c>
      <c r="L148" s="185" t="e">
        <f>(L149/L150)-1</f>
        <v>#DIV/0!</v>
      </c>
      <c r="M148" s="185" t="e">
        <f>(M149/M150)-1</f>
        <v>#DIV/0!</v>
      </c>
      <c r="N148" s="185" t="e">
        <f>(N149/N150)-1</f>
        <v>#DIV/0!</v>
      </c>
      <c r="O148" s="342" t="e">
        <f>(O149/O150)-1</f>
        <v>#DIV/0!</v>
      </c>
    </row>
    <row r="149" spans="1:16" ht="15.75" hidden="1" thickBot="1" x14ac:dyDescent="0.3">
      <c r="A149" s="308"/>
      <c r="B149" s="178"/>
      <c r="C149" s="243" t="s">
        <v>194</v>
      </c>
      <c r="D149" s="155">
        <f>D145</f>
        <v>0</v>
      </c>
      <c r="E149" s="172">
        <f>D149+E145</f>
        <v>0</v>
      </c>
      <c r="F149" s="172">
        <f>E149+F145</f>
        <v>0</v>
      </c>
      <c r="G149" s="172">
        <f t="shared" ref="G149:O150" si="72">F149+G145</f>
        <v>0</v>
      </c>
      <c r="H149" s="172">
        <f t="shared" si="72"/>
        <v>0</v>
      </c>
      <c r="I149" s="172">
        <f t="shared" si="72"/>
        <v>0</v>
      </c>
      <c r="J149" s="172">
        <f t="shared" si="72"/>
        <v>0</v>
      </c>
      <c r="K149" s="172">
        <f t="shared" si="72"/>
        <v>0</v>
      </c>
      <c r="L149" s="172">
        <f t="shared" si="72"/>
        <v>0</v>
      </c>
      <c r="M149" s="172">
        <f t="shared" si="72"/>
        <v>0</v>
      </c>
      <c r="N149" s="172">
        <f t="shared" si="72"/>
        <v>0</v>
      </c>
      <c r="O149" s="315">
        <f t="shared" si="72"/>
        <v>0</v>
      </c>
    </row>
    <row r="150" spans="1:16" ht="15.75" hidden="1" thickBot="1" x14ac:dyDescent="0.3">
      <c r="A150" s="308"/>
      <c r="B150" s="187"/>
      <c r="C150" s="343" t="s">
        <v>195</v>
      </c>
      <c r="D150" s="363">
        <f>D146</f>
        <v>0</v>
      </c>
      <c r="E150" s="364">
        <f>D150+E146</f>
        <v>0</v>
      </c>
      <c r="F150" s="364">
        <f>E150+F146</f>
        <v>0</v>
      </c>
      <c r="G150" s="364">
        <f>F150+G146</f>
        <v>0</v>
      </c>
      <c r="H150" s="364">
        <f>G150+H146</f>
        <v>0</v>
      </c>
      <c r="I150" s="364">
        <f>H150+I146</f>
        <v>0</v>
      </c>
      <c r="J150" s="364">
        <f t="shared" si="72"/>
        <v>0</v>
      </c>
      <c r="K150" s="364">
        <f t="shared" si="72"/>
        <v>0</v>
      </c>
      <c r="L150" s="364">
        <f t="shared" si="72"/>
        <v>0</v>
      </c>
      <c r="M150" s="364">
        <f t="shared" si="72"/>
        <v>0</v>
      </c>
      <c r="N150" s="364">
        <f t="shared" si="72"/>
        <v>0</v>
      </c>
      <c r="O150" s="365">
        <f t="shared" si="72"/>
        <v>0</v>
      </c>
    </row>
    <row r="151" spans="1:16" ht="26.25" customHeight="1" x14ac:dyDescent="0.25">
      <c r="A151" s="308"/>
      <c r="B151" s="260" t="s">
        <v>235</v>
      </c>
      <c r="C151" s="366" t="s">
        <v>236</v>
      </c>
      <c r="D151" s="367">
        <f>D109/(D25+D13)</f>
        <v>0.49635711305798913</v>
      </c>
      <c r="E151" s="367">
        <f t="shared" ref="E151:O151" si="73">E109/(E25+E13)</f>
        <v>0.60574775692512639</v>
      </c>
      <c r="F151" s="367">
        <f t="shared" si="73"/>
        <v>0.89809389746948087</v>
      </c>
      <c r="G151" s="367">
        <f t="shared" si="73"/>
        <v>0.65316881894367884</v>
      </c>
      <c r="H151" s="367">
        <f t="shared" si="73"/>
        <v>0.69539220510080058</v>
      </c>
      <c r="I151" s="367">
        <f t="shared" si="73"/>
        <v>0.59069395214390874</v>
      </c>
      <c r="J151" s="367">
        <f t="shared" si="73"/>
        <v>0.57380514969259133</v>
      </c>
      <c r="K151" s="367">
        <f t="shared" si="73"/>
        <v>0.64966603927577993</v>
      </c>
      <c r="L151" s="367">
        <f t="shared" si="73"/>
        <v>0.68046478830471702</v>
      </c>
      <c r="M151" s="367">
        <f t="shared" si="73"/>
        <v>0.67650209758002344</v>
      </c>
      <c r="N151" s="367">
        <f t="shared" si="73"/>
        <v>0.69186445399348995</v>
      </c>
      <c r="O151" s="367">
        <f t="shared" si="73"/>
        <v>0.75037343378606181</v>
      </c>
    </row>
    <row r="152" spans="1:16" ht="26.25" customHeight="1" x14ac:dyDescent="0.25">
      <c r="A152" s="308"/>
      <c r="B152" s="261"/>
      <c r="C152" s="368" t="s">
        <v>237</v>
      </c>
      <c r="D152" s="369">
        <f>+D115/D109</f>
        <v>3.1132119875471521E-2</v>
      </c>
      <c r="E152" s="369">
        <f t="shared" ref="E152:O152" si="74">+E115/E109</f>
        <v>2.4216551857960608E-2</v>
      </c>
      <c r="F152" s="369">
        <f t="shared" si="74"/>
        <v>2.6313621938515951E-2</v>
      </c>
      <c r="G152" s="369">
        <f t="shared" si="74"/>
        <v>0.39398932638154499</v>
      </c>
      <c r="H152" s="369">
        <f t="shared" si="74"/>
        <v>0.43577884926269028</v>
      </c>
      <c r="I152" s="369">
        <f t="shared" si="74"/>
        <v>0.45497975340097363</v>
      </c>
      <c r="J152" s="369">
        <f t="shared" si="74"/>
        <v>0.38841631570478141</v>
      </c>
      <c r="K152" s="369">
        <f t="shared" si="74"/>
        <v>0.41021433699107784</v>
      </c>
      <c r="L152" s="369">
        <f t="shared" si="74"/>
        <v>0.40657460891985026</v>
      </c>
      <c r="M152" s="369">
        <f t="shared" si="74"/>
        <v>0.40700341882871816</v>
      </c>
      <c r="N152" s="369">
        <f t="shared" si="74"/>
        <v>0.39765384233025153</v>
      </c>
      <c r="O152" s="369">
        <f t="shared" si="74"/>
        <v>0.39659592759949441</v>
      </c>
    </row>
    <row r="153" spans="1:16" ht="27" customHeight="1" thickBot="1" x14ac:dyDescent="0.3">
      <c r="A153" s="370"/>
      <c r="B153" s="371"/>
      <c r="C153" s="372" t="s">
        <v>238</v>
      </c>
      <c r="D153" s="373">
        <f>(D139+D145)/(D127+D133)</f>
        <v>0.64769949884591083</v>
      </c>
      <c r="E153" s="373">
        <f t="shared" ref="E153:O153" si="75">(E139+E145)/(E127+E133)</f>
        <v>0.59206321012237861</v>
      </c>
      <c r="F153" s="373">
        <f t="shared" si="75"/>
        <v>1.2098787542513656</v>
      </c>
      <c r="G153" s="373">
        <f t="shared" si="75"/>
        <v>1.2942208472782692</v>
      </c>
      <c r="H153" s="373">
        <f t="shared" si="75"/>
        <v>0.87055251349735041</v>
      </c>
      <c r="I153" s="373">
        <f t="shared" si="75"/>
        <v>3.9364153824795225</v>
      </c>
      <c r="J153" s="373">
        <f t="shared" si="75"/>
        <v>0.78672526258318254</v>
      </c>
      <c r="K153" s="373">
        <f t="shared" si="75"/>
        <v>1.7888315064925229</v>
      </c>
      <c r="L153" s="373">
        <f t="shared" si="75"/>
        <v>0.84167731979462723</v>
      </c>
      <c r="M153" s="373">
        <f t="shared" si="75"/>
        <v>0.73838196216080088</v>
      </c>
      <c r="N153" s="373">
        <f t="shared" si="75"/>
        <v>0.7713762156564884</v>
      </c>
      <c r="O153" s="373">
        <f t="shared" si="75"/>
        <v>0</v>
      </c>
    </row>
    <row r="154" spans="1:16" ht="21" customHeight="1" thickTop="1" x14ac:dyDescent="0.25">
      <c r="A154" s="374" t="s">
        <v>207</v>
      </c>
      <c r="B154" s="375" t="s">
        <v>239</v>
      </c>
      <c r="C154" s="251" t="s">
        <v>240</v>
      </c>
      <c r="D154" s="155">
        <f>+PIGOO!B57</f>
        <v>655188.47</v>
      </c>
      <c r="E154" s="155">
        <f>+PIGOO!C57</f>
        <v>680762.66999999993</v>
      </c>
      <c r="F154" s="155">
        <f>+PIGOO!D57</f>
        <v>538920.05000000005</v>
      </c>
      <c r="G154" s="155">
        <f>+PIGOO!E57</f>
        <v>703272.46</v>
      </c>
      <c r="H154" s="155">
        <f>+PIGOO!F57</f>
        <v>751264.2</v>
      </c>
      <c r="I154" s="155">
        <f>+PIGOO!G57</f>
        <v>786860.69</v>
      </c>
      <c r="J154" s="155">
        <f>+PIGOO!H57</f>
        <v>882796.93</v>
      </c>
      <c r="K154" s="155">
        <f>+PIGOO!I57</f>
        <v>793633.17</v>
      </c>
      <c r="L154" s="155">
        <f>+PIGOO!J57</f>
        <v>715613.83000000007</v>
      </c>
      <c r="M154" s="155">
        <f>+PIGOO!K57</f>
        <v>792864.54999999993</v>
      </c>
      <c r="N154" s="155">
        <f>+PIGOO!L57</f>
        <v>737074.35000000009</v>
      </c>
      <c r="O154" s="155">
        <f>+PIGOO!M57</f>
        <v>678468.64999999991</v>
      </c>
      <c r="P154" s="157">
        <v>8</v>
      </c>
    </row>
    <row r="155" spans="1:16" ht="21" customHeight="1" thickBot="1" x14ac:dyDescent="0.3">
      <c r="A155" s="225"/>
      <c r="B155" s="375"/>
      <c r="C155" s="238" t="s">
        <v>241</v>
      </c>
      <c r="D155" s="250">
        <v>473641.52999999997</v>
      </c>
      <c r="E155" s="241">
        <v>647048.64</v>
      </c>
      <c r="F155" s="241">
        <v>654799.19999999995</v>
      </c>
      <c r="G155" s="241">
        <v>708337.32</v>
      </c>
      <c r="H155" s="241">
        <v>732481.11</v>
      </c>
      <c r="I155" s="241">
        <v>738240.83</v>
      </c>
      <c r="J155" s="241">
        <v>713199.12</v>
      </c>
      <c r="K155" s="242">
        <v>671295.39999999991</v>
      </c>
      <c r="L155" s="241">
        <v>718247.67999999993</v>
      </c>
      <c r="M155" s="241">
        <v>809221.3</v>
      </c>
      <c r="N155" s="241">
        <v>744973.24</v>
      </c>
      <c r="O155" s="241">
        <v>654109.80999999994</v>
      </c>
    </row>
    <row r="156" spans="1:16" ht="21" customHeight="1" x14ac:dyDescent="0.25">
      <c r="B156" s="375"/>
      <c r="C156" s="243" t="s">
        <v>201</v>
      </c>
      <c r="D156" s="376">
        <f>D154</f>
        <v>655188.47</v>
      </c>
      <c r="E156" s="377">
        <f t="shared" ref="E156:O156" si="76">D156+E154</f>
        <v>1335951.1399999999</v>
      </c>
      <c r="F156" s="377">
        <f t="shared" si="76"/>
        <v>1874871.19</v>
      </c>
      <c r="G156" s="377">
        <f t="shared" si="76"/>
        <v>2578143.65</v>
      </c>
      <c r="H156" s="377">
        <f t="shared" si="76"/>
        <v>3329407.8499999996</v>
      </c>
      <c r="I156" s="377">
        <f t="shared" si="76"/>
        <v>4116268.5399999996</v>
      </c>
      <c r="J156" s="377">
        <f t="shared" si="76"/>
        <v>4999065.47</v>
      </c>
      <c r="K156" s="377">
        <f t="shared" si="76"/>
        <v>5792698.6399999997</v>
      </c>
      <c r="L156" s="377">
        <f t="shared" si="76"/>
        <v>6508312.4699999997</v>
      </c>
      <c r="M156" s="377">
        <f t="shared" si="76"/>
        <v>7301177.0199999996</v>
      </c>
      <c r="N156" s="377">
        <f t="shared" si="76"/>
        <v>8038251.3699999992</v>
      </c>
      <c r="O156" s="377">
        <f t="shared" si="76"/>
        <v>8716720.0199999996</v>
      </c>
    </row>
    <row r="157" spans="1:16" ht="21" customHeight="1" x14ac:dyDescent="0.25">
      <c r="B157" s="375"/>
      <c r="C157" s="245" t="s">
        <v>242</v>
      </c>
      <c r="D157" s="378">
        <f t="shared" ref="D157:I158" si="77">D154/D7</f>
        <v>1.6418089033114904</v>
      </c>
      <c r="E157" s="378">
        <f t="shared" si="77"/>
        <v>2.1297926717098714</v>
      </c>
      <c r="F157" s="378">
        <f t="shared" si="77"/>
        <v>1.2986400811589733</v>
      </c>
      <c r="G157" s="378">
        <f t="shared" si="77"/>
        <v>1.9734057102770957</v>
      </c>
      <c r="H157" s="378">
        <f t="shared" si="77"/>
        <v>1.6472960735343452</v>
      </c>
      <c r="I157" s="379">
        <f t="shared" si="77"/>
        <v>1.6700817572285742</v>
      </c>
      <c r="J157" s="380">
        <f>J156/J11</f>
        <v>1.7898429871046346</v>
      </c>
      <c r="K157" s="380">
        <f t="shared" ref="K157:O158" si="78">K154/K7</f>
        <v>1.8744642553472906</v>
      </c>
      <c r="L157" s="378">
        <f t="shared" si="78"/>
        <v>1.762869189061357</v>
      </c>
      <c r="M157" s="378">
        <f t="shared" si="78"/>
        <v>2.0437971887187865</v>
      </c>
      <c r="N157" s="378">
        <f t="shared" si="78"/>
        <v>1.7719922444092915</v>
      </c>
      <c r="O157" s="378">
        <f t="shared" si="78"/>
        <v>1.6690700992632133</v>
      </c>
    </row>
    <row r="158" spans="1:16" ht="21" customHeight="1" thickBot="1" x14ac:dyDescent="0.3">
      <c r="B158" s="375"/>
      <c r="C158" s="243" t="s">
        <v>243</v>
      </c>
      <c r="D158" s="381">
        <f t="shared" si="77"/>
        <v>1.4492427941986414</v>
      </c>
      <c r="E158" s="381">
        <f t="shared" si="77"/>
        <v>1.943935467395713</v>
      </c>
      <c r="F158" s="381">
        <f t="shared" si="77"/>
        <v>1.5677429549644455</v>
      </c>
      <c r="G158" s="381">
        <f t="shared" si="77"/>
        <v>1.7711621091796521</v>
      </c>
      <c r="H158" s="381">
        <f t="shared" si="77"/>
        <v>1.5389616520785447</v>
      </c>
      <c r="I158" s="382">
        <f t="shared" si="77"/>
        <v>1.6474103703902061</v>
      </c>
      <c r="J158" s="383">
        <f>J155/J8</f>
        <v>1.5491060265772361</v>
      </c>
      <c r="K158" s="383">
        <f t="shared" si="78"/>
        <v>1.3255312132850217</v>
      </c>
      <c r="L158" s="381">
        <f t="shared" si="78"/>
        <v>1.6073035032951786</v>
      </c>
      <c r="M158" s="381">
        <f t="shared" si="78"/>
        <v>1.9093018207729024</v>
      </c>
      <c r="N158" s="381">
        <f t="shared" si="78"/>
        <v>1.8370587263423956</v>
      </c>
      <c r="O158" s="381">
        <f t="shared" si="78"/>
        <v>1.7269268502604473</v>
      </c>
    </row>
    <row r="159" spans="1:16" ht="21" customHeight="1" x14ac:dyDescent="0.25">
      <c r="A159" s="384" t="s">
        <v>244</v>
      </c>
      <c r="B159" s="385"/>
      <c r="C159" s="386" t="s">
        <v>245</v>
      </c>
      <c r="D159" s="250">
        <f>+PIGOO!B52</f>
        <v>346939</v>
      </c>
      <c r="E159" s="250">
        <f>+PIGOO!C52</f>
        <v>258188</v>
      </c>
      <c r="F159" s="250">
        <f>+PIGOO!D52</f>
        <v>356565</v>
      </c>
      <c r="G159" s="250">
        <f>+PIGOO!E52</f>
        <v>369883</v>
      </c>
      <c r="H159" s="250">
        <f>+PIGOO!F52</f>
        <v>374470</v>
      </c>
      <c r="I159" s="250">
        <f>+PIGOO!G52</f>
        <v>415927</v>
      </c>
      <c r="J159" s="250">
        <f>+PIGOO!H52</f>
        <v>378696</v>
      </c>
      <c r="K159" s="250">
        <f>+PIGOO!I52</f>
        <v>339883</v>
      </c>
      <c r="L159" s="250">
        <f>+PIGOO!J52</f>
        <v>380791</v>
      </c>
      <c r="M159" s="250">
        <f>+PIGOO!K52</f>
        <v>361834</v>
      </c>
      <c r="N159" s="250">
        <f>+PIGOO!L52</f>
        <v>327755</v>
      </c>
      <c r="O159" s="250">
        <f>+PIGOO!M52</f>
        <v>479847</v>
      </c>
      <c r="P159" s="157">
        <v>9</v>
      </c>
    </row>
    <row r="160" spans="1:16" ht="21" customHeight="1" x14ac:dyDescent="0.25">
      <c r="A160" s="387"/>
      <c r="B160" s="385"/>
      <c r="C160" s="388" t="s">
        <v>246</v>
      </c>
      <c r="D160" s="389">
        <f>+D159/D7</f>
        <v>0.86937967499028979</v>
      </c>
      <c r="E160" s="389">
        <f t="shared" ref="E160:O160" si="79">+E159/E7</f>
        <v>0.80775126862262936</v>
      </c>
      <c r="F160" s="389">
        <f t="shared" si="79"/>
        <v>0.85921761593106305</v>
      </c>
      <c r="G160" s="389">
        <f t="shared" si="79"/>
        <v>1.0379038933707472</v>
      </c>
      <c r="H160" s="389">
        <f t="shared" si="79"/>
        <v>0.82109990154782608</v>
      </c>
      <c r="I160" s="389">
        <f t="shared" si="79"/>
        <v>0.88278916950192188</v>
      </c>
      <c r="J160" s="389">
        <f t="shared" si="79"/>
        <v>1.0078590951794177</v>
      </c>
      <c r="K160" s="389">
        <f t="shared" si="79"/>
        <v>0.80276197944221905</v>
      </c>
      <c r="L160" s="389">
        <f t="shared" si="79"/>
        <v>0.93805442716480636</v>
      </c>
      <c r="M160" s="389">
        <f t="shared" si="79"/>
        <v>0.93271330138656539</v>
      </c>
      <c r="N160" s="389">
        <f t="shared" si="79"/>
        <v>0.78795214901504473</v>
      </c>
      <c r="O160" s="389">
        <f t="shared" si="79"/>
        <v>1.1804499440337519</v>
      </c>
    </row>
    <row r="161" spans="1:16" ht="21" customHeight="1" thickBot="1" x14ac:dyDescent="0.3">
      <c r="A161" s="390"/>
      <c r="B161" s="391"/>
      <c r="C161" s="392" t="s">
        <v>247</v>
      </c>
      <c r="D161" s="393">
        <f>D154/D159</f>
        <v>1.8884831915696996</v>
      </c>
      <c r="E161" s="393">
        <f t="shared" ref="E161:O161" si="80">E154/E159</f>
        <v>2.6366936883201384</v>
      </c>
      <c r="F161" s="393">
        <f t="shared" si="80"/>
        <v>1.5114216201814537</v>
      </c>
      <c r="G161" s="393">
        <f t="shared" si="80"/>
        <v>1.9013376121638463</v>
      </c>
      <c r="H161" s="393">
        <f t="shared" si="80"/>
        <v>2.0062066387160518</v>
      </c>
      <c r="I161" s="393">
        <f t="shared" si="80"/>
        <v>1.8918240220038611</v>
      </c>
      <c r="J161" s="393">
        <f t="shared" si="80"/>
        <v>2.3311493387836153</v>
      </c>
      <c r="K161" s="393">
        <f t="shared" si="80"/>
        <v>2.335018727032538</v>
      </c>
      <c r="L161" s="393">
        <f t="shared" si="80"/>
        <v>1.8792824147629541</v>
      </c>
      <c r="M161" s="393">
        <f t="shared" si="80"/>
        <v>2.1912383855580182</v>
      </c>
      <c r="N161" s="393">
        <f t="shared" si="80"/>
        <v>2.2488576833305367</v>
      </c>
      <c r="O161" s="393">
        <f t="shared" si="80"/>
        <v>1.4139270434117539</v>
      </c>
    </row>
    <row r="162" spans="1:16" ht="15" customHeight="1" x14ac:dyDescent="0.25">
      <c r="A162" s="394"/>
      <c r="B162" s="395" t="s">
        <v>248</v>
      </c>
      <c r="C162" s="396" t="s">
        <v>249</v>
      </c>
      <c r="D162" s="228">
        <f>+PIGOO!B107</f>
        <v>200</v>
      </c>
      <c r="E162" s="228">
        <f>+PIGOO!C107</f>
        <v>415</v>
      </c>
      <c r="F162" s="228">
        <f>+PIGOO!D107</f>
        <v>310</v>
      </c>
      <c r="G162" s="228">
        <f>+PIGOO!E107</f>
        <v>396</v>
      </c>
      <c r="H162" s="228">
        <f>+PIGOO!F107</f>
        <v>283</v>
      </c>
      <c r="I162" s="228">
        <f>+PIGOO!G107</f>
        <v>251</v>
      </c>
      <c r="J162" s="228">
        <f>+PIGOO!H107</f>
        <v>538</v>
      </c>
      <c r="K162" s="228">
        <f>+PIGOO!I107</f>
        <v>606</v>
      </c>
      <c r="L162" s="228">
        <f>+PIGOO!J107</f>
        <v>465</v>
      </c>
      <c r="M162" s="228">
        <f>+PIGOO!K107</f>
        <v>438</v>
      </c>
      <c r="N162" s="228">
        <f>+PIGOO!L107</f>
        <v>359</v>
      </c>
      <c r="O162" s="228">
        <f>+PIGOO!M107</f>
        <v>192</v>
      </c>
      <c r="P162" s="157">
        <v>10</v>
      </c>
    </row>
    <row r="163" spans="1:16" x14ac:dyDescent="0.25">
      <c r="A163" s="394"/>
      <c r="B163" s="397"/>
      <c r="C163" s="166" t="s">
        <v>250</v>
      </c>
      <c r="D163" s="155">
        <f>D162</f>
        <v>200</v>
      </c>
      <c r="E163" s="172">
        <f t="shared" ref="E163:O163" si="81">D163+E162</f>
        <v>615</v>
      </c>
      <c r="F163" s="172">
        <f t="shared" si="81"/>
        <v>925</v>
      </c>
      <c r="G163" s="172">
        <f t="shared" si="81"/>
        <v>1321</v>
      </c>
      <c r="H163" s="172">
        <f t="shared" si="81"/>
        <v>1604</v>
      </c>
      <c r="I163" s="172">
        <f t="shared" si="81"/>
        <v>1855</v>
      </c>
      <c r="J163" s="172">
        <f t="shared" si="81"/>
        <v>2393</v>
      </c>
      <c r="K163" s="172">
        <f t="shared" si="81"/>
        <v>2999</v>
      </c>
      <c r="L163" s="172">
        <f t="shared" si="81"/>
        <v>3464</v>
      </c>
      <c r="M163" s="172">
        <f t="shared" si="81"/>
        <v>3902</v>
      </c>
      <c r="N163" s="172">
        <f t="shared" si="81"/>
        <v>4261</v>
      </c>
      <c r="O163" s="172">
        <f t="shared" si="81"/>
        <v>4453</v>
      </c>
    </row>
    <row r="164" spans="1:16" ht="45" x14ac:dyDescent="0.25">
      <c r="A164" s="394"/>
      <c r="B164" s="397"/>
      <c r="C164" s="396" t="s">
        <v>251</v>
      </c>
      <c r="D164" s="228">
        <f>+PIGOO!B108</f>
        <v>95</v>
      </c>
      <c r="E164" s="228">
        <f>+PIGOO!C108</f>
        <v>168</v>
      </c>
      <c r="F164" s="228">
        <f>+PIGOO!D108</f>
        <v>196</v>
      </c>
      <c r="G164" s="228">
        <f>+PIGOO!E108</f>
        <v>241</v>
      </c>
      <c r="H164" s="228">
        <f>+PIGOO!F108</f>
        <v>205</v>
      </c>
      <c r="I164" s="228">
        <f>+PIGOO!G108</f>
        <v>236</v>
      </c>
      <c r="J164" s="228">
        <f>+PIGOO!H108</f>
        <v>363</v>
      </c>
      <c r="K164" s="228">
        <f>+PIGOO!I108</f>
        <v>415</v>
      </c>
      <c r="L164" s="228">
        <f>+PIGOO!J108</f>
        <v>281</v>
      </c>
      <c r="M164" s="228">
        <f>+PIGOO!K108</f>
        <v>323</v>
      </c>
      <c r="N164" s="228">
        <f>+PIGOO!L108</f>
        <v>318</v>
      </c>
      <c r="O164" s="228">
        <f>+PIGOO!M108</f>
        <v>197</v>
      </c>
      <c r="P164" s="157">
        <v>11</v>
      </c>
    </row>
    <row r="165" spans="1:16" ht="15.75" thickBot="1" x14ac:dyDescent="0.3">
      <c r="A165" s="394"/>
      <c r="B165" s="397"/>
      <c r="C165" s="166" t="s">
        <v>252</v>
      </c>
      <c r="D165" s="155">
        <f>D164</f>
        <v>95</v>
      </c>
      <c r="E165" s="172">
        <f t="shared" ref="E165:O165" si="82">D165+E164</f>
        <v>263</v>
      </c>
      <c r="F165" s="172">
        <f t="shared" si="82"/>
        <v>459</v>
      </c>
      <c r="G165" s="172">
        <f t="shared" si="82"/>
        <v>700</v>
      </c>
      <c r="H165" s="172">
        <f t="shared" si="82"/>
        <v>905</v>
      </c>
      <c r="I165" s="172">
        <f t="shared" si="82"/>
        <v>1141</v>
      </c>
      <c r="J165" s="172">
        <f t="shared" si="82"/>
        <v>1504</v>
      </c>
      <c r="K165" s="172">
        <f t="shared" si="82"/>
        <v>1919</v>
      </c>
      <c r="L165" s="172">
        <f t="shared" si="82"/>
        <v>2200</v>
      </c>
      <c r="M165" s="172">
        <f t="shared" si="82"/>
        <v>2523</v>
      </c>
      <c r="N165" s="172">
        <f t="shared" si="82"/>
        <v>2841</v>
      </c>
      <c r="O165" s="172">
        <f t="shared" si="82"/>
        <v>3038</v>
      </c>
    </row>
    <row r="166" spans="1:16" ht="21.75" thickBot="1" x14ac:dyDescent="0.3">
      <c r="A166" s="394"/>
      <c r="B166" s="397"/>
      <c r="C166" s="398" t="s">
        <v>253</v>
      </c>
      <c r="D166" s="399">
        <f t="shared" ref="D166:J166" si="83">D165/D163</f>
        <v>0.47499999999999998</v>
      </c>
      <c r="E166" s="400">
        <f t="shared" si="83"/>
        <v>0.4276422764227642</v>
      </c>
      <c r="F166" s="400">
        <f t="shared" si="83"/>
        <v>0.4962162162162162</v>
      </c>
      <c r="G166" s="400">
        <f t="shared" si="83"/>
        <v>0.52990158970476908</v>
      </c>
      <c r="H166" s="400">
        <f t="shared" si="83"/>
        <v>0.56421446384039897</v>
      </c>
      <c r="I166" s="400">
        <f t="shared" si="83"/>
        <v>0.61509433962264148</v>
      </c>
      <c r="J166" s="400">
        <f t="shared" si="83"/>
        <v>0.62849979105725029</v>
      </c>
      <c r="K166" s="400">
        <f>K165/K163</f>
        <v>0.63987995998666225</v>
      </c>
      <c r="L166" s="400">
        <f>L165/L163</f>
        <v>0.63510392609699773</v>
      </c>
      <c r="M166" s="400">
        <f>M165/M163</f>
        <v>0.6465914915427986</v>
      </c>
      <c r="N166" s="400">
        <f>N165/N163</f>
        <v>0.66674489556442151</v>
      </c>
      <c r="O166" s="400">
        <f>O165/O163</f>
        <v>0.68223669436335055</v>
      </c>
    </row>
    <row r="167" spans="1:16" ht="30" x14ac:dyDescent="0.25">
      <c r="A167" s="394"/>
      <c r="B167" s="397"/>
      <c r="C167" s="154" t="s">
        <v>254</v>
      </c>
      <c r="D167" s="401">
        <f>+PIGOO!B109</f>
        <v>8371</v>
      </c>
      <c r="E167" s="401">
        <f>+PIGOO!C109</f>
        <v>20748</v>
      </c>
      <c r="F167" s="401">
        <f>+PIGOO!D109</f>
        <v>22507</v>
      </c>
      <c r="G167" s="401">
        <f>+PIGOO!E109</f>
        <v>31410</v>
      </c>
      <c r="H167" s="401">
        <f>+PIGOO!F109</f>
        <v>11684.5</v>
      </c>
      <c r="I167" s="401">
        <f>+PIGOO!G109</f>
        <v>18456.5</v>
      </c>
      <c r="J167" s="401">
        <f>+PIGOO!H109</f>
        <v>29588</v>
      </c>
      <c r="K167" s="401">
        <f>+PIGOO!I109</f>
        <v>22831</v>
      </c>
      <c r="L167" s="401">
        <f>+PIGOO!J109</f>
        <v>27666.5</v>
      </c>
      <c r="M167" s="401">
        <f>+PIGOO!K109</f>
        <v>34023</v>
      </c>
      <c r="N167" s="401">
        <f>+PIGOO!L109</f>
        <v>37347</v>
      </c>
      <c r="O167" s="401">
        <f>+PIGOO!M109</f>
        <v>36729.199999999997</v>
      </c>
      <c r="P167" s="157">
        <v>12</v>
      </c>
    </row>
    <row r="168" spans="1:16" ht="30.75" thickBot="1" x14ac:dyDescent="0.3">
      <c r="A168" s="394"/>
      <c r="B168" s="397"/>
      <c r="C168" s="402" t="s">
        <v>255</v>
      </c>
      <c r="D168" s="359">
        <f>D167</f>
        <v>8371</v>
      </c>
      <c r="E168" s="359">
        <f>D168+E167</f>
        <v>29119</v>
      </c>
      <c r="F168" s="359">
        <f t="shared" ref="F168:M168" si="84">E168+F167</f>
        <v>51626</v>
      </c>
      <c r="G168" s="359">
        <f t="shared" si="84"/>
        <v>83036</v>
      </c>
      <c r="H168" s="359">
        <f t="shared" si="84"/>
        <v>94720.5</v>
      </c>
      <c r="I168" s="359">
        <f t="shared" si="84"/>
        <v>113177</v>
      </c>
      <c r="J168" s="359">
        <f t="shared" si="84"/>
        <v>142765</v>
      </c>
      <c r="K168" s="359">
        <f t="shared" si="84"/>
        <v>165596</v>
      </c>
      <c r="L168" s="359">
        <f t="shared" si="84"/>
        <v>193262.5</v>
      </c>
      <c r="M168" s="359">
        <f t="shared" si="84"/>
        <v>227285.5</v>
      </c>
      <c r="N168" s="359">
        <f>M168+N167</f>
        <v>264632.5</v>
      </c>
      <c r="O168" s="359">
        <f>N168+O167</f>
        <v>301361.7</v>
      </c>
    </row>
    <row r="169" spans="1:16" x14ac:dyDescent="0.25">
      <c r="A169" s="394"/>
      <c r="B169" s="397"/>
      <c r="C169" s="403" t="s">
        <v>256</v>
      </c>
      <c r="D169" s="180">
        <f>+PIGOO!B204</f>
        <v>24209</v>
      </c>
      <c r="E169" s="180">
        <f>+PIGOO!C204</f>
        <v>24289</v>
      </c>
      <c r="F169" s="180">
        <f>+PIGOO!D204</f>
        <v>24345</v>
      </c>
      <c r="G169" s="180">
        <f>+PIGOO!E204</f>
        <v>24441</v>
      </c>
      <c r="H169" s="180">
        <f>+PIGOO!F204</f>
        <v>24498</v>
      </c>
      <c r="I169" s="180">
        <f>+PIGOO!G204</f>
        <v>24541</v>
      </c>
      <c r="J169" s="180">
        <f>+PIGOO!H204</f>
        <v>24575</v>
      </c>
      <c r="K169" s="180">
        <f>+PIGOO!I204</f>
        <v>24629</v>
      </c>
      <c r="L169" s="180">
        <f>+PIGOO!J204</f>
        <v>24660</v>
      </c>
      <c r="M169" s="180">
        <f>+PIGOO!K204</f>
        <v>24697</v>
      </c>
      <c r="N169" s="180">
        <f>+PIGOO!L204</f>
        <v>24725</v>
      </c>
      <c r="O169" s="180">
        <f>+PIGOO!M204</f>
        <v>24741</v>
      </c>
      <c r="P169" s="157">
        <v>13</v>
      </c>
    </row>
    <row r="170" spans="1:16" x14ac:dyDescent="0.25">
      <c r="A170" s="394"/>
      <c r="B170" s="397"/>
      <c r="C170" s="404" t="s">
        <v>257</v>
      </c>
      <c r="D170" s="405">
        <f>+D169/D171</f>
        <v>1</v>
      </c>
      <c r="E170" s="405">
        <f t="shared" ref="E170:J170" si="85">+E169/E171</f>
        <v>1</v>
      </c>
      <c r="F170" s="405">
        <f t="shared" si="85"/>
        <v>1</v>
      </c>
      <c r="G170" s="405">
        <f t="shared" si="85"/>
        <v>1</v>
      </c>
      <c r="H170" s="405">
        <f t="shared" si="85"/>
        <v>1</v>
      </c>
      <c r="I170" s="405">
        <f t="shared" si="85"/>
        <v>1</v>
      </c>
      <c r="J170" s="405">
        <f t="shared" si="85"/>
        <v>1</v>
      </c>
      <c r="K170" s="405">
        <f>+K169/K171</f>
        <v>1</v>
      </c>
      <c r="L170" s="405">
        <f>+L169/L171</f>
        <v>1</v>
      </c>
      <c r="M170" s="405">
        <f>+M169/M171</f>
        <v>1</v>
      </c>
      <c r="N170" s="405">
        <f>+N169/N171</f>
        <v>1</v>
      </c>
      <c r="O170" s="405">
        <f>+O169/O171</f>
        <v>1</v>
      </c>
    </row>
    <row r="171" spans="1:16" s="409" customFormat="1" ht="21" x14ac:dyDescent="0.25">
      <c r="A171" s="394"/>
      <c r="B171" s="397"/>
      <c r="C171" s="406" t="s">
        <v>258</v>
      </c>
      <c r="D171" s="407">
        <f>+PIGOO!B112</f>
        <v>24209</v>
      </c>
      <c r="E171" s="407">
        <f>+PIGOO!C112</f>
        <v>24289</v>
      </c>
      <c r="F171" s="407">
        <f>+PIGOO!D112</f>
        <v>24345</v>
      </c>
      <c r="G171" s="407">
        <f>+PIGOO!E112</f>
        <v>24441</v>
      </c>
      <c r="H171" s="407">
        <f>+PIGOO!F112</f>
        <v>24498</v>
      </c>
      <c r="I171" s="407">
        <f>+PIGOO!G112</f>
        <v>24541</v>
      </c>
      <c r="J171" s="407">
        <f>+PIGOO!H112</f>
        <v>24575</v>
      </c>
      <c r="K171" s="407">
        <f>+PIGOO!I112</f>
        <v>24629</v>
      </c>
      <c r="L171" s="407">
        <f>+PIGOO!J112</f>
        <v>24660</v>
      </c>
      <c r="M171" s="407">
        <f>+PIGOO!K112</f>
        <v>24697</v>
      </c>
      <c r="N171" s="407">
        <f>+PIGOO!L112</f>
        <v>24725</v>
      </c>
      <c r="O171" s="407">
        <f>+PIGOO!M112</f>
        <v>24741</v>
      </c>
      <c r="P171" s="408">
        <v>14</v>
      </c>
    </row>
    <row r="172" spans="1:16" x14ac:dyDescent="0.25">
      <c r="A172" s="394"/>
      <c r="B172" s="397"/>
      <c r="C172" s="410" t="s">
        <v>259</v>
      </c>
      <c r="D172" s="155">
        <f>PIGOO!B113</f>
        <v>24085</v>
      </c>
      <c r="E172" s="155">
        <v>23748</v>
      </c>
      <c r="F172" s="155">
        <v>23763</v>
      </c>
      <c r="G172" s="155">
        <v>23774</v>
      </c>
      <c r="H172" s="172">
        <v>23813</v>
      </c>
      <c r="I172" s="172">
        <f>PIGOO!G113</f>
        <v>24417</v>
      </c>
      <c r="J172" s="172">
        <f>PIGOO!H113</f>
        <v>24451</v>
      </c>
      <c r="K172" s="172">
        <f>PIGOO!I113</f>
        <v>24505</v>
      </c>
      <c r="L172" s="172">
        <f>PIGOO!J113</f>
        <v>24536</v>
      </c>
      <c r="M172" s="172">
        <f>PIGOO!K113</f>
        <v>24573</v>
      </c>
      <c r="N172" s="172">
        <f>PIGOO!L113</f>
        <v>24601</v>
      </c>
      <c r="O172" s="172">
        <f>PIGOO!M113</f>
        <v>24617</v>
      </c>
    </row>
    <row r="173" spans="1:16" x14ac:dyDescent="0.25">
      <c r="A173" s="394"/>
      <c r="B173" s="397"/>
      <c r="C173" s="411" t="s">
        <v>260</v>
      </c>
      <c r="D173" s="341">
        <f>D172/D171</f>
        <v>0.99487793795695811</v>
      </c>
      <c r="E173" s="341">
        <f t="shared" ref="E173:J173" si="86">E172/E171</f>
        <v>0.97772654287949279</v>
      </c>
      <c r="F173" s="341">
        <f t="shared" si="86"/>
        <v>0.97609365372766477</v>
      </c>
      <c r="G173" s="341">
        <f t="shared" si="86"/>
        <v>0.97270979092508492</v>
      </c>
      <c r="H173" s="341">
        <f t="shared" si="86"/>
        <v>0.97203853375785776</v>
      </c>
      <c r="I173" s="341">
        <f t="shared" si="86"/>
        <v>0.99494723116417427</v>
      </c>
      <c r="J173" s="341">
        <f t="shared" si="86"/>
        <v>0.99495422177009152</v>
      </c>
      <c r="K173" s="341">
        <f>K172/K171</f>
        <v>0.99496528482683011</v>
      </c>
      <c r="L173" s="341">
        <f>L172/L171</f>
        <v>0.99497161394971612</v>
      </c>
      <c r="M173" s="341">
        <f>M172/M171</f>
        <v>0.99497914726484993</v>
      </c>
      <c r="N173" s="341">
        <f>N172/N171</f>
        <v>0.9949848331648129</v>
      </c>
      <c r="O173" s="341">
        <f>O172/O171</f>
        <v>0.99498807647225251</v>
      </c>
    </row>
    <row r="174" spans="1:16" x14ac:dyDescent="0.25">
      <c r="A174" s="394"/>
      <c r="B174" s="397"/>
      <c r="C174" s="410" t="s">
        <v>261</v>
      </c>
      <c r="D174" s="155">
        <v>0</v>
      </c>
      <c r="E174" s="172">
        <v>0</v>
      </c>
      <c r="F174" s="172">
        <v>0</v>
      </c>
      <c r="G174" s="172">
        <v>0</v>
      </c>
      <c r="H174" s="172">
        <v>0</v>
      </c>
      <c r="I174" s="172">
        <v>0</v>
      </c>
      <c r="J174" s="172">
        <v>0</v>
      </c>
      <c r="K174" s="172">
        <v>0</v>
      </c>
      <c r="L174" s="172">
        <v>0</v>
      </c>
      <c r="M174" s="172">
        <v>0</v>
      </c>
      <c r="N174" s="172">
        <v>0</v>
      </c>
      <c r="O174" s="172">
        <v>0</v>
      </c>
    </row>
    <row r="175" spans="1:16" x14ac:dyDescent="0.25">
      <c r="A175" s="394"/>
      <c r="B175" s="397"/>
      <c r="C175" s="411" t="s">
        <v>262</v>
      </c>
      <c r="D175" s="341">
        <f>D174/D171</f>
        <v>0</v>
      </c>
      <c r="E175" s="341">
        <f t="shared" ref="E175:J175" si="87">E174/E171</f>
        <v>0</v>
      </c>
      <c r="F175" s="341">
        <f t="shared" si="87"/>
        <v>0</v>
      </c>
      <c r="G175" s="341">
        <f t="shared" si="87"/>
        <v>0</v>
      </c>
      <c r="H175" s="341">
        <f t="shared" si="87"/>
        <v>0</v>
      </c>
      <c r="I175" s="341">
        <f t="shared" si="87"/>
        <v>0</v>
      </c>
      <c r="J175" s="341">
        <f t="shared" si="87"/>
        <v>0</v>
      </c>
      <c r="K175" s="341">
        <f>K174/K171</f>
        <v>0</v>
      </c>
      <c r="L175" s="341">
        <f>L174/L171</f>
        <v>0</v>
      </c>
      <c r="M175" s="341">
        <f>M174/M171</f>
        <v>0</v>
      </c>
      <c r="N175" s="341">
        <f>N174/N171</f>
        <v>0</v>
      </c>
      <c r="O175" s="341">
        <f>O174/O171</f>
        <v>0</v>
      </c>
    </row>
    <row r="176" spans="1:16" ht="30" x14ac:dyDescent="0.25">
      <c r="A176" s="394"/>
      <c r="B176" s="397"/>
      <c r="C176" s="412" t="s">
        <v>263</v>
      </c>
      <c r="D176" s="155">
        <f>PIGOO!B119</f>
        <v>124</v>
      </c>
      <c r="E176" s="172">
        <v>125</v>
      </c>
      <c r="F176" s="172">
        <v>125</v>
      </c>
      <c r="G176" s="172">
        <v>125</v>
      </c>
      <c r="H176" s="172">
        <v>125</v>
      </c>
      <c r="I176" s="172">
        <f>PIGOO!G119</f>
        <v>124</v>
      </c>
      <c r="J176" s="172">
        <f>PIGOO!H119</f>
        <v>124</v>
      </c>
      <c r="K176" s="172">
        <f>PIGOO!I119</f>
        <v>124</v>
      </c>
      <c r="L176" s="172">
        <f>PIGOO!J119</f>
        <v>124</v>
      </c>
      <c r="M176" s="172">
        <f>PIGOO!K119</f>
        <v>124</v>
      </c>
      <c r="N176" s="172">
        <f>PIGOO!L119</f>
        <v>124</v>
      </c>
      <c r="O176" s="172">
        <f>PIGOO!M119</f>
        <v>124</v>
      </c>
    </row>
    <row r="177" spans="1:16" ht="30" x14ac:dyDescent="0.25">
      <c r="A177" s="394"/>
      <c r="B177" s="397"/>
      <c r="C177" s="413" t="s">
        <v>264</v>
      </c>
      <c r="D177" s="341">
        <f>D176/D171</f>
        <v>5.1220620430418437E-3</v>
      </c>
      <c r="E177" s="341">
        <f t="shared" ref="E177:J177" si="88">E176/E171</f>
        <v>5.1463625509489894E-3</v>
      </c>
      <c r="F177" s="341">
        <f t="shared" si="88"/>
        <v>5.1345245430273155E-3</v>
      </c>
      <c r="G177" s="341">
        <f t="shared" si="88"/>
        <v>5.1143570230350642E-3</v>
      </c>
      <c r="H177" s="341">
        <f t="shared" si="88"/>
        <v>5.102457343456609E-3</v>
      </c>
      <c r="I177" s="341">
        <f t="shared" si="88"/>
        <v>5.052768835825761E-3</v>
      </c>
      <c r="J177" s="341">
        <f t="shared" si="88"/>
        <v>5.0457782299084437E-3</v>
      </c>
      <c r="K177" s="341">
        <f>K176/K171</f>
        <v>5.0347151731698408E-3</v>
      </c>
      <c r="L177" s="341">
        <f>L176/L171</f>
        <v>5.0283860502838605E-3</v>
      </c>
      <c r="M177" s="341">
        <f>M176/M171</f>
        <v>5.0208527351500182E-3</v>
      </c>
      <c r="N177" s="341">
        <f>N176/N171</f>
        <v>5.0151668351870573E-3</v>
      </c>
      <c r="O177" s="341">
        <f>O176/O171</f>
        <v>5.0119235277474635E-3</v>
      </c>
    </row>
    <row r="178" spans="1:16" ht="30" x14ac:dyDescent="0.25">
      <c r="A178" s="394"/>
      <c r="B178" s="397"/>
      <c r="C178" s="412" t="s">
        <v>265</v>
      </c>
      <c r="D178" s="155">
        <v>0</v>
      </c>
      <c r="E178" s="172">
        <v>0</v>
      </c>
      <c r="F178" s="172">
        <v>0</v>
      </c>
      <c r="G178" s="172">
        <v>0</v>
      </c>
      <c r="H178" s="172">
        <v>0</v>
      </c>
      <c r="I178" s="172">
        <v>0</v>
      </c>
      <c r="J178" s="172">
        <v>0</v>
      </c>
      <c r="K178" s="172">
        <v>0</v>
      </c>
      <c r="L178" s="172">
        <v>0</v>
      </c>
      <c r="M178" s="172">
        <v>0</v>
      </c>
      <c r="N178" s="172">
        <v>0</v>
      </c>
      <c r="O178" s="172">
        <v>0</v>
      </c>
    </row>
    <row r="179" spans="1:16" ht="30.75" thickBot="1" x14ac:dyDescent="0.3">
      <c r="A179" s="394"/>
      <c r="B179" s="397"/>
      <c r="C179" s="414" t="s">
        <v>266</v>
      </c>
      <c r="D179" s="415">
        <f t="shared" ref="D179:O179" si="89">D178/D171</f>
        <v>0</v>
      </c>
      <c r="E179" s="415">
        <f t="shared" si="89"/>
        <v>0</v>
      </c>
      <c r="F179" s="415">
        <f t="shared" si="89"/>
        <v>0</v>
      </c>
      <c r="G179" s="415">
        <f t="shared" si="89"/>
        <v>0</v>
      </c>
      <c r="H179" s="415">
        <f t="shared" si="89"/>
        <v>0</v>
      </c>
      <c r="I179" s="415">
        <f t="shared" si="89"/>
        <v>0</v>
      </c>
      <c r="J179" s="415">
        <f t="shared" si="89"/>
        <v>0</v>
      </c>
      <c r="K179" s="415">
        <f t="shared" si="89"/>
        <v>0</v>
      </c>
      <c r="L179" s="415">
        <f t="shared" si="89"/>
        <v>0</v>
      </c>
      <c r="M179" s="415">
        <f t="shared" si="89"/>
        <v>0</v>
      </c>
      <c r="N179" s="415">
        <f t="shared" si="89"/>
        <v>0</v>
      </c>
      <c r="O179" s="415">
        <f t="shared" si="89"/>
        <v>0</v>
      </c>
    </row>
    <row r="180" spans="1:16" x14ac:dyDescent="0.25">
      <c r="A180" s="394"/>
      <c r="B180" s="397"/>
      <c r="C180" s="416" t="s">
        <v>267</v>
      </c>
      <c r="D180" s="417">
        <f>+PIGOO!B159</f>
        <v>16005</v>
      </c>
      <c r="E180" s="417">
        <f>+PIGOO!C159</f>
        <v>15687</v>
      </c>
      <c r="F180" s="417">
        <f>+PIGOO!D159</f>
        <v>15688</v>
      </c>
      <c r="G180" s="417">
        <f>+PIGOO!E159</f>
        <v>16184</v>
      </c>
      <c r="H180" s="417">
        <f>+PIGOO!F159</f>
        <v>15455</v>
      </c>
      <c r="I180" s="417">
        <f>+PIGOO!G159</f>
        <v>15746</v>
      </c>
      <c r="J180" s="417">
        <f>+PIGOO!H159</f>
        <v>16373</v>
      </c>
      <c r="K180" s="417">
        <f>+PIGOO!I159</f>
        <v>16509</v>
      </c>
      <c r="L180" s="417">
        <f>+PIGOO!J159</f>
        <v>16066</v>
      </c>
      <c r="M180" s="417">
        <f>+PIGOO!K159</f>
        <v>15880</v>
      </c>
      <c r="N180" s="417">
        <f>+PIGOO!L159</f>
        <v>15669</v>
      </c>
      <c r="O180" s="417">
        <f>+PIGOO!M159</f>
        <v>16403</v>
      </c>
      <c r="P180" s="157">
        <v>15</v>
      </c>
    </row>
    <row r="181" spans="1:16" x14ac:dyDescent="0.25">
      <c r="A181" s="394"/>
      <c r="B181" s="397"/>
      <c r="C181" s="418" t="s">
        <v>268</v>
      </c>
      <c r="D181" s="419">
        <v>13880</v>
      </c>
      <c r="E181" s="420">
        <v>14482</v>
      </c>
      <c r="F181" s="420">
        <v>12783</v>
      </c>
      <c r="G181" s="420">
        <v>14285</v>
      </c>
      <c r="H181" s="420">
        <v>14747</v>
      </c>
      <c r="I181" s="420">
        <v>14477</v>
      </c>
      <c r="J181" s="420">
        <v>14800</v>
      </c>
      <c r="K181" s="420">
        <v>14725</v>
      </c>
      <c r="L181" s="420">
        <v>14507</v>
      </c>
      <c r="M181" s="420">
        <v>14828</v>
      </c>
      <c r="N181" s="420">
        <v>14656</v>
      </c>
      <c r="O181" s="420">
        <v>14455</v>
      </c>
    </row>
    <row r="182" spans="1:16" ht="15.75" thickBot="1" x14ac:dyDescent="0.3">
      <c r="A182" s="394"/>
      <c r="B182" s="397"/>
      <c r="C182" s="421" t="s">
        <v>269</v>
      </c>
      <c r="D182" s="415">
        <f>+D180/D171</f>
        <v>0.66111776612003803</v>
      </c>
      <c r="E182" s="415">
        <f t="shared" ref="E182:O182" si="90">+E180/E171</f>
        <v>0.64584791469389435</v>
      </c>
      <c r="F182" s="415">
        <f t="shared" si="90"/>
        <v>0.64440336824810018</v>
      </c>
      <c r="G182" s="415">
        <f t="shared" si="90"/>
        <v>0.66216603248639583</v>
      </c>
      <c r="H182" s="415">
        <f t="shared" si="90"/>
        <v>0.63086782594497515</v>
      </c>
      <c r="I182" s="415">
        <f t="shared" si="90"/>
        <v>0.64162014587832605</v>
      </c>
      <c r="J182" s="415">
        <f t="shared" si="90"/>
        <v>0.66624618514750766</v>
      </c>
      <c r="K182" s="415">
        <f t="shared" si="90"/>
        <v>0.67030736124081369</v>
      </c>
      <c r="L182" s="415">
        <f t="shared" si="90"/>
        <v>0.6515004055150041</v>
      </c>
      <c r="M182" s="415">
        <f t="shared" si="90"/>
        <v>0.6429930760821152</v>
      </c>
      <c r="N182" s="415">
        <f t="shared" si="90"/>
        <v>0.63373104145601622</v>
      </c>
      <c r="O182" s="415">
        <f t="shared" si="90"/>
        <v>0.66298856149711005</v>
      </c>
    </row>
    <row r="183" spans="1:16" x14ac:dyDescent="0.25">
      <c r="A183" s="394"/>
      <c r="B183" s="397"/>
      <c r="C183" s="422" t="s">
        <v>270</v>
      </c>
      <c r="D183" s="423">
        <f>+PIGOO!B160</f>
        <v>3272</v>
      </c>
      <c r="E183" s="423">
        <f>+PIGOO!C160</f>
        <v>3681</v>
      </c>
      <c r="F183" s="423">
        <f>+PIGOO!D160</f>
        <v>3797</v>
      </c>
      <c r="G183" s="423">
        <f>+PIGOO!E160</f>
        <v>3874</v>
      </c>
      <c r="H183" s="423">
        <f>+PIGOO!F160</f>
        <v>3928</v>
      </c>
      <c r="I183" s="423">
        <f>+PIGOO!G160</f>
        <v>3989</v>
      </c>
      <c r="J183" s="423">
        <f>+PIGOO!H160</f>
        <v>4028</v>
      </c>
      <c r="K183" s="423">
        <f>+PIGOO!I160</f>
        <v>4065</v>
      </c>
      <c r="L183" s="423">
        <f>+PIGOO!J160</f>
        <v>4103</v>
      </c>
      <c r="M183" s="423">
        <f>+PIGOO!K160</f>
        <v>4121</v>
      </c>
      <c r="N183" s="423">
        <f>+PIGOO!L160</f>
        <v>4120</v>
      </c>
      <c r="O183" s="423">
        <f>+PIGOO!M160</f>
        <v>4122</v>
      </c>
      <c r="P183" s="157">
        <v>16</v>
      </c>
    </row>
    <row r="184" spans="1:16" ht="15.75" thickBot="1" x14ac:dyDescent="0.3">
      <c r="A184" s="394"/>
      <c r="B184" s="424"/>
      <c r="C184" s="425" t="s">
        <v>271</v>
      </c>
      <c r="D184" s="415"/>
      <c r="E184" s="426"/>
      <c r="F184" s="426"/>
      <c r="G184" s="426"/>
      <c r="H184" s="426"/>
      <c r="I184" s="426"/>
      <c r="J184" s="426"/>
      <c r="K184" s="426"/>
      <c r="L184" s="426"/>
      <c r="M184" s="426"/>
      <c r="N184" s="426"/>
      <c r="O184" s="426"/>
    </row>
    <row r="185" spans="1:16" ht="30" x14ac:dyDescent="0.25">
      <c r="A185" s="394"/>
      <c r="B185" s="427"/>
      <c r="C185" s="428" t="s">
        <v>272</v>
      </c>
      <c r="D185" s="429">
        <v>0</v>
      </c>
      <c r="E185" s="430">
        <v>0</v>
      </c>
      <c r="F185" s="430">
        <v>0</v>
      </c>
      <c r="G185" s="430">
        <v>0</v>
      </c>
      <c r="H185" s="430">
        <v>0</v>
      </c>
      <c r="I185" s="430">
        <v>0</v>
      </c>
      <c r="J185" s="430">
        <v>943327</v>
      </c>
      <c r="K185" s="430">
        <v>0</v>
      </c>
      <c r="L185" s="430">
        <v>0</v>
      </c>
      <c r="M185" s="430">
        <v>2040135</v>
      </c>
      <c r="N185" s="430">
        <v>1478432</v>
      </c>
      <c r="O185" s="430">
        <v>373113</v>
      </c>
      <c r="P185" s="431"/>
    </row>
    <row r="186" spans="1:16" ht="30" x14ac:dyDescent="0.25">
      <c r="A186" s="394"/>
      <c r="B186" s="427"/>
      <c r="C186" s="432" t="s">
        <v>273</v>
      </c>
      <c r="D186" s="433">
        <f>D185</f>
        <v>0</v>
      </c>
      <c r="E186" s="434">
        <f>D186+E185</f>
        <v>0</v>
      </c>
      <c r="F186" s="434">
        <f t="shared" ref="F186:O186" si="91">E186+F185</f>
        <v>0</v>
      </c>
      <c r="G186" s="434">
        <f t="shared" si="91"/>
        <v>0</v>
      </c>
      <c r="H186" s="434">
        <f t="shared" si="91"/>
        <v>0</v>
      </c>
      <c r="I186" s="434">
        <f t="shared" si="91"/>
        <v>0</v>
      </c>
      <c r="J186" s="434">
        <f t="shared" si="91"/>
        <v>943327</v>
      </c>
      <c r="K186" s="434">
        <f>J186+K185</f>
        <v>943327</v>
      </c>
      <c r="L186" s="434">
        <f t="shared" si="91"/>
        <v>943327</v>
      </c>
      <c r="M186" s="434">
        <f t="shared" si="91"/>
        <v>2983462</v>
      </c>
      <c r="N186" s="434">
        <f t="shared" si="91"/>
        <v>4461894</v>
      </c>
      <c r="O186" s="434">
        <f t="shared" si="91"/>
        <v>4835007</v>
      </c>
      <c r="P186" s="431"/>
    </row>
    <row r="187" spans="1:16" ht="15.75" thickBot="1" x14ac:dyDescent="0.3">
      <c r="A187" s="394"/>
      <c r="B187" s="427"/>
      <c r="C187" s="435" t="s">
        <v>274</v>
      </c>
      <c r="D187" s="436">
        <v>12766732.560000001</v>
      </c>
      <c r="E187" s="437">
        <v>13747853.35</v>
      </c>
      <c r="F187" s="437">
        <v>13629069.800000001</v>
      </c>
      <c r="G187" s="437">
        <v>13628090.6</v>
      </c>
      <c r="H187" s="437">
        <v>13592405.710000001</v>
      </c>
      <c r="I187" s="437">
        <v>13766551.310000001</v>
      </c>
      <c r="J187" s="437"/>
      <c r="K187" s="437"/>
      <c r="L187" s="437">
        <v>11831076.73</v>
      </c>
      <c r="M187" s="437">
        <v>10149326.539999999</v>
      </c>
      <c r="N187" s="437">
        <v>9350105.0600000005</v>
      </c>
      <c r="O187" s="437">
        <v>9848639.1300000008</v>
      </c>
    </row>
    <row r="188" spans="1:16" ht="30" x14ac:dyDescent="0.25">
      <c r="A188" s="394"/>
      <c r="B188" s="427"/>
      <c r="C188" s="438" t="s">
        <v>275</v>
      </c>
      <c r="D188" s="439">
        <f>PIGOO!B168</f>
        <v>97</v>
      </c>
      <c r="E188" s="439">
        <f>PIGOO!C168</f>
        <v>80</v>
      </c>
      <c r="F188" s="439">
        <f>PIGOO!D168</f>
        <v>56</v>
      </c>
      <c r="G188" s="439">
        <f>PIGOO!E168</f>
        <v>24317</v>
      </c>
      <c r="H188" s="439">
        <f>PIGOO!F168</f>
        <v>24375</v>
      </c>
      <c r="I188" s="439">
        <f>PIGOO!G168</f>
        <v>24417</v>
      </c>
      <c r="J188" s="439">
        <f>PIGOO!H168</f>
        <v>24451</v>
      </c>
      <c r="K188" s="439">
        <f>PIGOO!I168</f>
        <v>24505</v>
      </c>
      <c r="L188" s="439">
        <f>PIGOO!J168</f>
        <v>24536</v>
      </c>
      <c r="M188" s="439">
        <f>PIGOO!K168</f>
        <v>24573</v>
      </c>
      <c r="N188" s="439">
        <f>PIGOO!L168</f>
        <v>24601</v>
      </c>
      <c r="O188" s="439">
        <f>PIGOO!M168</f>
        <v>24617</v>
      </c>
    </row>
    <row r="189" spans="1:16" ht="30.75" thickBot="1" x14ac:dyDescent="0.3">
      <c r="A189" s="394"/>
      <c r="B189" s="427"/>
      <c r="C189" s="440" t="s">
        <v>276</v>
      </c>
      <c r="D189" s="376">
        <f>+D188</f>
        <v>97</v>
      </c>
      <c r="E189" s="377">
        <f>+D189+E188</f>
        <v>177</v>
      </c>
      <c r="F189" s="377">
        <f t="shared" ref="F189:O189" si="92">+E189+F188</f>
        <v>233</v>
      </c>
      <c r="G189" s="377">
        <f t="shared" si="92"/>
        <v>24550</v>
      </c>
      <c r="H189" s="377">
        <f>+G189+H188</f>
        <v>48925</v>
      </c>
      <c r="I189" s="377">
        <f>+H189+I188</f>
        <v>73342</v>
      </c>
      <c r="J189" s="377">
        <f t="shared" si="92"/>
        <v>97793</v>
      </c>
      <c r="K189" s="377">
        <f t="shared" si="92"/>
        <v>122298</v>
      </c>
      <c r="L189" s="377">
        <f t="shared" si="92"/>
        <v>146834</v>
      </c>
      <c r="M189" s="377">
        <f t="shared" si="92"/>
        <v>171407</v>
      </c>
      <c r="N189" s="377">
        <f t="shared" si="92"/>
        <v>196008</v>
      </c>
      <c r="O189" s="377">
        <f t="shared" si="92"/>
        <v>220625</v>
      </c>
    </row>
    <row r="190" spans="1:16" ht="15.75" thickBot="1" x14ac:dyDescent="0.3">
      <c r="A190" s="441"/>
      <c r="B190" s="442"/>
      <c r="C190" s="443" t="s">
        <v>277</v>
      </c>
      <c r="D190" s="444">
        <f>+PIGOO!B157</f>
        <v>0</v>
      </c>
      <c r="E190" s="444">
        <f>+PIGOO!C157</f>
        <v>0</v>
      </c>
      <c r="F190" s="444">
        <f>+PIGOO!D157</f>
        <v>0</v>
      </c>
      <c r="G190" s="444">
        <f>+PIGOO!E157</f>
        <v>0</v>
      </c>
      <c r="H190" s="444">
        <f>+PIGOO!F157</f>
        <v>0</v>
      </c>
      <c r="I190" s="444">
        <f>+PIGOO!G157</f>
        <v>0</v>
      </c>
      <c r="J190" s="444">
        <f>+PIGOO!H157</f>
        <v>0</v>
      </c>
      <c r="K190" s="444">
        <f>+PIGOO!I157</f>
        <v>0</v>
      </c>
      <c r="L190" s="444">
        <f>+PIGOO!J157</f>
        <v>0</v>
      </c>
      <c r="M190" s="444">
        <f>+PIGOO!K157</f>
        <v>0</v>
      </c>
      <c r="N190" s="444">
        <f>+PIGOO!L157</f>
        <v>0</v>
      </c>
      <c r="O190" s="444">
        <f>+PIGOO!M157</f>
        <v>0</v>
      </c>
    </row>
    <row r="191" spans="1:16" x14ac:dyDescent="0.25">
      <c r="A191" s="445" t="s">
        <v>278</v>
      </c>
      <c r="B191" s="205" t="s">
        <v>279</v>
      </c>
      <c r="C191" s="446" t="s">
        <v>280</v>
      </c>
      <c r="D191" s="447">
        <f>+PIGOO!B189+PIGOO!B191+PIGOO!B193</f>
        <v>66</v>
      </c>
      <c r="E191" s="447">
        <f>+PIGOO!C189+PIGOO!C191+PIGOO!C193</f>
        <v>66</v>
      </c>
      <c r="F191" s="447">
        <f>+PIGOO!D189+PIGOO!D191+PIGOO!D193</f>
        <v>66</v>
      </c>
      <c r="G191" s="447">
        <f>+PIGOO!E189+PIGOO!E191+PIGOO!E193</f>
        <v>66</v>
      </c>
      <c r="H191" s="447">
        <f>+PIGOO!F189+PIGOO!F191+PIGOO!F193</f>
        <v>66</v>
      </c>
      <c r="I191" s="447">
        <f>+PIGOO!G189+PIGOO!G191+PIGOO!G193</f>
        <v>66</v>
      </c>
      <c r="J191" s="447">
        <f>+PIGOO!H189+PIGOO!H191+PIGOO!H193</f>
        <v>66</v>
      </c>
      <c r="K191" s="447">
        <f>+PIGOO!I189+PIGOO!I191+PIGOO!I193</f>
        <v>66</v>
      </c>
      <c r="L191" s="447">
        <f>+PIGOO!J189+PIGOO!J191+PIGOO!J193</f>
        <v>66</v>
      </c>
      <c r="M191" s="447">
        <f>+PIGOO!K189+PIGOO!K191+PIGOO!K193</f>
        <v>66</v>
      </c>
      <c r="N191" s="447">
        <f>+PIGOO!L189+PIGOO!L191+PIGOO!L193</f>
        <v>66</v>
      </c>
      <c r="O191" s="447">
        <f>+PIGOO!M189+PIGOO!M191+PIGOO!M193</f>
        <v>66</v>
      </c>
      <c r="P191" s="157">
        <v>17</v>
      </c>
    </row>
    <row r="192" spans="1:16" x14ac:dyDescent="0.25">
      <c r="A192" s="445"/>
      <c r="B192" s="208"/>
      <c r="C192" s="448" t="s">
        <v>281</v>
      </c>
      <c r="D192" s="449">
        <v>70</v>
      </c>
      <c r="E192" s="449">
        <v>70</v>
      </c>
      <c r="F192" s="449">
        <v>70</v>
      </c>
      <c r="G192" s="449">
        <v>70</v>
      </c>
      <c r="H192" s="449">
        <v>70</v>
      </c>
      <c r="I192" s="449">
        <v>70</v>
      </c>
      <c r="J192" s="449">
        <v>70</v>
      </c>
      <c r="K192" s="449">
        <v>70</v>
      </c>
      <c r="L192" s="449">
        <v>70</v>
      </c>
      <c r="M192" s="449">
        <v>70</v>
      </c>
      <c r="N192" s="449">
        <v>70</v>
      </c>
      <c r="O192" s="155">
        <v>70</v>
      </c>
      <c r="P192" s="450"/>
    </row>
    <row r="193" spans="1:16" ht="18.75" x14ac:dyDescent="0.25">
      <c r="A193" s="445"/>
      <c r="B193" s="208"/>
      <c r="C193" s="451" t="s">
        <v>282</v>
      </c>
      <c r="D193" s="452">
        <f>D192-D191</f>
        <v>4</v>
      </c>
      <c r="E193" s="452">
        <f t="shared" ref="E193:J193" si="93">E192-E191</f>
        <v>4</v>
      </c>
      <c r="F193" s="452">
        <f t="shared" si="93"/>
        <v>4</v>
      </c>
      <c r="G193" s="452">
        <f t="shared" si="93"/>
        <v>4</v>
      </c>
      <c r="H193" s="452">
        <f t="shared" si="93"/>
        <v>4</v>
      </c>
      <c r="I193" s="452">
        <f t="shared" si="93"/>
        <v>4</v>
      </c>
      <c r="J193" s="452">
        <f t="shared" si="93"/>
        <v>4</v>
      </c>
      <c r="K193" s="452">
        <f>K192-K191</f>
        <v>4</v>
      </c>
      <c r="L193" s="452">
        <f>L192-L191</f>
        <v>4</v>
      </c>
      <c r="M193" s="452">
        <f>M192-M191</f>
        <v>4</v>
      </c>
      <c r="N193" s="452">
        <f>N192-N191</f>
        <v>4</v>
      </c>
      <c r="O193" s="250">
        <f>O192-O191</f>
        <v>4</v>
      </c>
    </row>
    <row r="194" spans="1:16" ht="19.5" thickBot="1" x14ac:dyDescent="0.3">
      <c r="A194" s="445"/>
      <c r="B194" s="248"/>
      <c r="C194" s="453" t="s">
        <v>283</v>
      </c>
      <c r="D194" s="454">
        <f>D193/D192</f>
        <v>5.7142857142857141E-2</v>
      </c>
      <c r="E194" s="454">
        <f t="shared" ref="E194:O194" si="94">E193/E192</f>
        <v>5.7142857142857141E-2</v>
      </c>
      <c r="F194" s="454">
        <f t="shared" si="94"/>
        <v>5.7142857142857141E-2</v>
      </c>
      <c r="G194" s="454">
        <f t="shared" si="94"/>
        <v>5.7142857142857141E-2</v>
      </c>
      <c r="H194" s="454">
        <f t="shared" si="94"/>
        <v>5.7142857142857141E-2</v>
      </c>
      <c r="I194" s="454">
        <f t="shared" si="94"/>
        <v>5.7142857142857141E-2</v>
      </c>
      <c r="J194" s="454">
        <f t="shared" si="94"/>
        <v>5.7142857142857141E-2</v>
      </c>
      <c r="K194" s="454">
        <f>K193/K192</f>
        <v>5.7142857142857141E-2</v>
      </c>
      <c r="L194" s="454">
        <f t="shared" si="94"/>
        <v>5.7142857142857141E-2</v>
      </c>
      <c r="M194" s="454">
        <f t="shared" si="94"/>
        <v>5.7142857142857141E-2</v>
      </c>
      <c r="N194" s="454">
        <f t="shared" si="94"/>
        <v>5.7142857142857141E-2</v>
      </c>
      <c r="O194" s="455">
        <f t="shared" si="94"/>
        <v>5.7142857142857141E-2</v>
      </c>
    </row>
    <row r="195" spans="1:16" s="459" customFormat="1" x14ac:dyDescent="0.25">
      <c r="A195" s="445"/>
      <c r="B195" s="205" t="s">
        <v>284</v>
      </c>
      <c r="C195" s="456" t="s">
        <v>285</v>
      </c>
      <c r="D195" s="457">
        <f>+PIGOO!B188+PIGOO!B190+PIGOO!B192</f>
        <v>22</v>
      </c>
      <c r="E195" s="457">
        <f>+PIGOO!C188+PIGOO!C190+PIGOO!C192</f>
        <v>22</v>
      </c>
      <c r="F195" s="457">
        <f>+PIGOO!D188+PIGOO!D190+PIGOO!D192</f>
        <v>22</v>
      </c>
      <c r="G195" s="457">
        <f>+PIGOO!E188+PIGOO!E190+PIGOO!E192</f>
        <v>22</v>
      </c>
      <c r="H195" s="457">
        <f>+PIGOO!F188+PIGOO!F190+PIGOO!F192</f>
        <v>22</v>
      </c>
      <c r="I195" s="457">
        <f>+PIGOO!G188+PIGOO!G190+PIGOO!G192</f>
        <v>22</v>
      </c>
      <c r="J195" s="457">
        <f>+PIGOO!H188+PIGOO!H190+PIGOO!H192</f>
        <v>22</v>
      </c>
      <c r="K195" s="457">
        <f>+PIGOO!I188+PIGOO!I190+PIGOO!I192</f>
        <v>22</v>
      </c>
      <c r="L195" s="457">
        <f>+PIGOO!J188+PIGOO!J190+PIGOO!J192</f>
        <v>22</v>
      </c>
      <c r="M195" s="457">
        <f>+PIGOO!K188+PIGOO!K190+PIGOO!K192</f>
        <v>22</v>
      </c>
      <c r="N195" s="457">
        <f>+PIGOO!L188+PIGOO!L190+PIGOO!L192</f>
        <v>22</v>
      </c>
      <c r="O195" s="457">
        <f>+PIGOO!M188+PIGOO!M190+PIGOO!M192</f>
        <v>22</v>
      </c>
      <c r="P195" s="458">
        <v>18</v>
      </c>
    </row>
    <row r="196" spans="1:16" x14ac:dyDescent="0.25">
      <c r="A196" s="445"/>
      <c r="B196" s="208"/>
      <c r="C196" s="448" t="s">
        <v>281</v>
      </c>
      <c r="D196" s="155">
        <v>38</v>
      </c>
      <c r="E196" s="155">
        <v>38</v>
      </c>
      <c r="F196" s="155">
        <v>38</v>
      </c>
      <c r="G196" s="155">
        <v>38</v>
      </c>
      <c r="H196" s="155">
        <v>38</v>
      </c>
      <c r="I196" s="155">
        <v>38</v>
      </c>
      <c r="J196" s="155">
        <v>38</v>
      </c>
      <c r="K196" s="155">
        <v>38</v>
      </c>
      <c r="L196" s="155">
        <v>38</v>
      </c>
      <c r="M196" s="155">
        <v>38</v>
      </c>
      <c r="N196" s="155">
        <v>38</v>
      </c>
      <c r="O196" s="155">
        <v>38</v>
      </c>
    </row>
    <row r="197" spans="1:16" ht="18.75" x14ac:dyDescent="0.25">
      <c r="A197" s="445"/>
      <c r="B197" s="208"/>
      <c r="C197" s="451" t="s">
        <v>282</v>
      </c>
      <c r="D197" s="250">
        <f>D196-D195</f>
        <v>16</v>
      </c>
      <c r="E197" s="250">
        <f t="shared" ref="E197:O197" si="95">E196-E195</f>
        <v>16</v>
      </c>
      <c r="F197" s="250">
        <f t="shared" si="95"/>
        <v>16</v>
      </c>
      <c r="G197" s="250">
        <f t="shared" si="95"/>
        <v>16</v>
      </c>
      <c r="H197" s="250">
        <f t="shared" si="95"/>
        <v>16</v>
      </c>
      <c r="I197" s="250">
        <f t="shared" si="95"/>
        <v>16</v>
      </c>
      <c r="J197" s="250">
        <f t="shared" si="95"/>
        <v>16</v>
      </c>
      <c r="K197" s="250">
        <f t="shared" si="95"/>
        <v>16</v>
      </c>
      <c r="L197" s="250">
        <f t="shared" si="95"/>
        <v>16</v>
      </c>
      <c r="M197" s="250">
        <f t="shared" si="95"/>
        <v>16</v>
      </c>
      <c r="N197" s="250">
        <f t="shared" si="95"/>
        <v>16</v>
      </c>
      <c r="O197" s="250">
        <f t="shared" si="95"/>
        <v>16</v>
      </c>
    </row>
    <row r="198" spans="1:16" ht="19.5" thickBot="1" x14ac:dyDescent="0.3">
      <c r="A198" s="445"/>
      <c r="B198" s="248"/>
      <c r="C198" s="453" t="s">
        <v>283</v>
      </c>
      <c r="D198" s="460">
        <f>D197/D196</f>
        <v>0.42105263157894735</v>
      </c>
      <c r="E198" s="460">
        <f t="shared" ref="E198:O198" si="96">E197/E196</f>
        <v>0.42105263157894735</v>
      </c>
      <c r="F198" s="460">
        <f t="shared" si="96"/>
        <v>0.42105263157894735</v>
      </c>
      <c r="G198" s="460">
        <f t="shared" si="96"/>
        <v>0.42105263157894735</v>
      </c>
      <c r="H198" s="460">
        <f t="shared" si="96"/>
        <v>0.42105263157894735</v>
      </c>
      <c r="I198" s="460">
        <f t="shared" si="96"/>
        <v>0.42105263157894735</v>
      </c>
      <c r="J198" s="460">
        <f t="shared" si="96"/>
        <v>0.42105263157894735</v>
      </c>
      <c r="K198" s="460">
        <f>K197/K196</f>
        <v>0.42105263157894735</v>
      </c>
      <c r="L198" s="460">
        <f t="shared" si="96"/>
        <v>0.42105263157894735</v>
      </c>
      <c r="M198" s="460">
        <f t="shared" si="96"/>
        <v>0.42105263157894735</v>
      </c>
      <c r="N198" s="460">
        <f t="shared" si="96"/>
        <v>0.42105263157894735</v>
      </c>
      <c r="O198" s="455">
        <f t="shared" si="96"/>
        <v>0.42105263157894735</v>
      </c>
    </row>
    <row r="199" spans="1:16" s="459" customFormat="1" x14ac:dyDescent="0.25">
      <c r="A199" s="445"/>
      <c r="B199" s="205" t="s">
        <v>286</v>
      </c>
      <c r="C199" s="456" t="s">
        <v>285</v>
      </c>
      <c r="D199" s="461">
        <f>+PIGOO!B195</f>
        <v>20</v>
      </c>
      <c r="E199" s="461">
        <f>+PIGOO!C195</f>
        <v>20</v>
      </c>
      <c r="F199" s="461">
        <f>+PIGOO!D195</f>
        <v>20</v>
      </c>
      <c r="G199" s="461">
        <f>+PIGOO!E195</f>
        <v>20</v>
      </c>
      <c r="H199" s="461">
        <f>+PIGOO!F195</f>
        <v>20</v>
      </c>
      <c r="I199" s="461">
        <f>+PIGOO!G195</f>
        <v>20</v>
      </c>
      <c r="J199" s="461">
        <f>+PIGOO!H195</f>
        <v>20</v>
      </c>
      <c r="K199" s="461">
        <f>+PIGOO!I195</f>
        <v>20</v>
      </c>
      <c r="L199" s="461">
        <f>+PIGOO!J195</f>
        <v>20</v>
      </c>
      <c r="M199" s="461">
        <f>+PIGOO!K195</f>
        <v>20</v>
      </c>
      <c r="N199" s="461">
        <f>+PIGOO!L195</f>
        <v>20</v>
      </c>
      <c r="O199" s="461">
        <f>+PIGOO!M195</f>
        <v>20</v>
      </c>
      <c r="P199" s="458">
        <v>19</v>
      </c>
    </row>
    <row r="200" spans="1:16" x14ac:dyDescent="0.25">
      <c r="A200" s="445"/>
      <c r="B200" s="208"/>
      <c r="C200" s="448" t="s">
        <v>281</v>
      </c>
      <c r="D200" s="155">
        <v>18</v>
      </c>
      <c r="E200" s="155">
        <v>18</v>
      </c>
      <c r="F200" s="155">
        <v>18</v>
      </c>
      <c r="G200" s="155">
        <v>18</v>
      </c>
      <c r="H200" s="155">
        <v>18</v>
      </c>
      <c r="I200" s="155">
        <v>18</v>
      </c>
      <c r="J200" s="155">
        <v>18</v>
      </c>
      <c r="K200" s="462">
        <v>18</v>
      </c>
      <c r="L200" s="155">
        <v>18</v>
      </c>
      <c r="M200" s="155">
        <v>18</v>
      </c>
      <c r="N200" s="155">
        <v>18</v>
      </c>
      <c r="O200" s="155">
        <v>18</v>
      </c>
    </row>
    <row r="201" spans="1:16" ht="18.75" x14ac:dyDescent="0.25">
      <c r="A201" s="445"/>
      <c r="B201" s="208"/>
      <c r="C201" s="451" t="s">
        <v>282</v>
      </c>
      <c r="D201" s="250">
        <f>D200-D199</f>
        <v>-2</v>
      </c>
      <c r="E201" s="250">
        <f t="shared" ref="E201:J201" si="97">E200-E199</f>
        <v>-2</v>
      </c>
      <c r="F201" s="250">
        <f t="shared" si="97"/>
        <v>-2</v>
      </c>
      <c r="G201" s="250">
        <f t="shared" si="97"/>
        <v>-2</v>
      </c>
      <c r="H201" s="250">
        <f t="shared" si="97"/>
        <v>-2</v>
      </c>
      <c r="I201" s="250">
        <f t="shared" si="97"/>
        <v>-2</v>
      </c>
      <c r="J201" s="463">
        <f t="shared" si="97"/>
        <v>-2</v>
      </c>
      <c r="K201" s="464">
        <f>K200-K199</f>
        <v>-2</v>
      </c>
      <c r="L201" s="463">
        <f>L200-L199</f>
        <v>-2</v>
      </c>
      <c r="M201" s="463">
        <f>M200-M199</f>
        <v>-2</v>
      </c>
      <c r="N201" s="463">
        <f>N200-N199</f>
        <v>-2</v>
      </c>
      <c r="O201" s="463">
        <f>O200-O199</f>
        <v>-2</v>
      </c>
    </row>
    <row r="202" spans="1:16" ht="19.5" thickBot="1" x14ac:dyDescent="0.3">
      <c r="A202" s="445"/>
      <c r="B202" s="208"/>
      <c r="C202" s="453" t="s">
        <v>283</v>
      </c>
      <c r="D202" s="454">
        <f>D201/D200</f>
        <v>-0.1111111111111111</v>
      </c>
      <c r="E202" s="454">
        <f t="shared" ref="E202:O202" si="98">E201/E200</f>
        <v>-0.1111111111111111</v>
      </c>
      <c r="F202" s="454">
        <f t="shared" si="98"/>
        <v>-0.1111111111111111</v>
      </c>
      <c r="G202" s="454">
        <f t="shared" si="98"/>
        <v>-0.1111111111111111</v>
      </c>
      <c r="H202" s="454">
        <f t="shared" si="98"/>
        <v>-0.1111111111111111</v>
      </c>
      <c r="I202" s="454">
        <f t="shared" si="98"/>
        <v>-0.1111111111111111</v>
      </c>
      <c r="J202" s="454">
        <f t="shared" si="98"/>
        <v>-0.1111111111111111</v>
      </c>
      <c r="K202" s="454">
        <f>K201/K200</f>
        <v>-0.1111111111111111</v>
      </c>
      <c r="L202" s="454">
        <f t="shared" si="98"/>
        <v>-0.1111111111111111</v>
      </c>
      <c r="M202" s="454">
        <f t="shared" si="98"/>
        <v>-0.1111111111111111</v>
      </c>
      <c r="N202" s="454">
        <f t="shared" si="98"/>
        <v>-0.1111111111111111</v>
      </c>
      <c r="O202" s="455">
        <f t="shared" si="98"/>
        <v>-0.1111111111111111</v>
      </c>
    </row>
    <row r="203" spans="1:16" x14ac:dyDescent="0.25">
      <c r="A203" s="445"/>
      <c r="B203" s="205" t="s">
        <v>287</v>
      </c>
      <c r="C203" s="465" t="s">
        <v>285</v>
      </c>
      <c r="D203" s="466">
        <f>+PIGOO!B194</f>
        <v>2</v>
      </c>
      <c r="E203" s="466">
        <f>+PIGOO!C194</f>
        <v>2</v>
      </c>
      <c r="F203" s="466">
        <f>+PIGOO!D194</f>
        <v>2</v>
      </c>
      <c r="G203" s="466">
        <f>+PIGOO!E194</f>
        <v>2</v>
      </c>
      <c r="H203" s="466">
        <f>+PIGOO!F194</f>
        <v>2</v>
      </c>
      <c r="I203" s="466">
        <f>+PIGOO!G194</f>
        <v>2</v>
      </c>
      <c r="J203" s="466">
        <f>+PIGOO!H194</f>
        <v>2</v>
      </c>
      <c r="K203" s="466">
        <f>+PIGOO!I194</f>
        <v>2</v>
      </c>
      <c r="L203" s="466">
        <f>+PIGOO!J194</f>
        <v>2</v>
      </c>
      <c r="M203" s="466">
        <f>+PIGOO!K194</f>
        <v>2</v>
      </c>
      <c r="N203" s="466">
        <f>+PIGOO!L194</f>
        <v>2</v>
      </c>
      <c r="O203" s="466">
        <f>+PIGOO!M194</f>
        <v>2</v>
      </c>
      <c r="P203" s="157">
        <v>20</v>
      </c>
    </row>
    <row r="204" spans="1:16" x14ac:dyDescent="0.25">
      <c r="A204" s="445"/>
      <c r="B204" s="208"/>
      <c r="C204" s="448" t="s">
        <v>281</v>
      </c>
      <c r="D204" s="172">
        <v>2</v>
      </c>
      <c r="E204" s="172">
        <v>2</v>
      </c>
      <c r="F204" s="172">
        <v>2</v>
      </c>
      <c r="G204" s="172">
        <v>2</v>
      </c>
      <c r="H204" s="172">
        <v>2</v>
      </c>
      <c r="I204" s="172">
        <v>2</v>
      </c>
      <c r="J204" s="172">
        <v>2</v>
      </c>
      <c r="K204" s="467">
        <v>2</v>
      </c>
      <c r="L204" s="172">
        <v>2</v>
      </c>
      <c r="M204" s="172">
        <v>2</v>
      </c>
      <c r="N204" s="172">
        <v>2</v>
      </c>
      <c r="O204" s="172">
        <v>2</v>
      </c>
    </row>
    <row r="205" spans="1:16" ht="18.75" x14ac:dyDescent="0.25">
      <c r="A205" s="445"/>
      <c r="B205" s="208"/>
      <c r="C205" s="468" t="s">
        <v>282</v>
      </c>
      <c r="D205" s="241">
        <f>D204-D203</f>
        <v>0</v>
      </c>
      <c r="E205" s="241">
        <f t="shared" ref="E205:J205" si="99">E204-E203</f>
        <v>0</v>
      </c>
      <c r="F205" s="241">
        <f t="shared" si="99"/>
        <v>0</v>
      </c>
      <c r="G205" s="241">
        <f t="shared" si="99"/>
        <v>0</v>
      </c>
      <c r="H205" s="241">
        <f t="shared" si="99"/>
        <v>0</v>
      </c>
      <c r="I205" s="241">
        <f t="shared" si="99"/>
        <v>0</v>
      </c>
      <c r="J205" s="346">
        <f t="shared" si="99"/>
        <v>0</v>
      </c>
      <c r="K205" s="346">
        <f>K204-K203</f>
        <v>0</v>
      </c>
      <c r="L205" s="346">
        <f>L204-L203</f>
        <v>0</v>
      </c>
      <c r="M205" s="346">
        <f>M204-M203</f>
        <v>0</v>
      </c>
      <c r="N205" s="346">
        <f>N204-N203</f>
        <v>0</v>
      </c>
      <c r="O205" s="346">
        <f>O204-O203</f>
        <v>0</v>
      </c>
    </row>
    <row r="206" spans="1:16" ht="19.5" thickBot="1" x14ac:dyDescent="0.3">
      <c r="A206" s="445"/>
      <c r="B206" s="248"/>
      <c r="C206" s="469" t="s">
        <v>283</v>
      </c>
      <c r="D206" s="454">
        <f>D205/D204</f>
        <v>0</v>
      </c>
      <c r="E206" s="454">
        <f t="shared" ref="E206:O206" si="100">E205/E204</f>
        <v>0</v>
      </c>
      <c r="F206" s="454">
        <f t="shared" si="100"/>
        <v>0</v>
      </c>
      <c r="G206" s="454">
        <f t="shared" si="100"/>
        <v>0</v>
      </c>
      <c r="H206" s="454">
        <f t="shared" si="100"/>
        <v>0</v>
      </c>
      <c r="I206" s="454">
        <f t="shared" si="100"/>
        <v>0</v>
      </c>
      <c r="J206" s="454">
        <f t="shared" si="100"/>
        <v>0</v>
      </c>
      <c r="K206" s="454">
        <f>K205/K204</f>
        <v>0</v>
      </c>
      <c r="L206" s="454">
        <f t="shared" si="100"/>
        <v>0</v>
      </c>
      <c r="M206" s="454">
        <f t="shared" si="100"/>
        <v>0</v>
      </c>
      <c r="N206" s="454">
        <f t="shared" si="100"/>
        <v>0</v>
      </c>
      <c r="O206" s="455">
        <f t="shared" si="100"/>
        <v>0</v>
      </c>
    </row>
    <row r="207" spans="1:16" ht="15" customHeight="1" x14ac:dyDescent="0.25">
      <c r="B207" s="470" t="s">
        <v>288</v>
      </c>
      <c r="C207" s="471"/>
      <c r="D207" s="472">
        <f>D191+D195</f>
        <v>88</v>
      </c>
      <c r="E207" s="472">
        <f t="shared" ref="E207:O208" si="101">E191+E195</f>
        <v>88</v>
      </c>
      <c r="F207" s="472">
        <f t="shared" si="101"/>
        <v>88</v>
      </c>
      <c r="G207" s="472">
        <f t="shared" si="101"/>
        <v>88</v>
      </c>
      <c r="H207" s="472">
        <f t="shared" si="101"/>
        <v>88</v>
      </c>
      <c r="I207" s="472">
        <f t="shared" si="101"/>
        <v>88</v>
      </c>
      <c r="J207" s="472">
        <f t="shared" si="101"/>
        <v>88</v>
      </c>
      <c r="K207" s="472">
        <f t="shared" si="101"/>
        <v>88</v>
      </c>
      <c r="L207" s="472">
        <f t="shared" si="101"/>
        <v>88</v>
      </c>
      <c r="M207" s="472">
        <f t="shared" si="101"/>
        <v>88</v>
      </c>
      <c r="N207" s="472">
        <f t="shared" si="101"/>
        <v>88</v>
      </c>
      <c r="O207" s="472">
        <f t="shared" si="101"/>
        <v>88</v>
      </c>
    </row>
    <row r="208" spans="1:16" ht="15" customHeight="1" x14ac:dyDescent="0.25">
      <c r="B208" s="473" t="s">
        <v>289</v>
      </c>
      <c r="C208" s="474"/>
      <c r="D208" s="475">
        <f>D192+D196</f>
        <v>108</v>
      </c>
      <c r="E208" s="475">
        <f t="shared" si="101"/>
        <v>108</v>
      </c>
      <c r="F208" s="475">
        <f t="shared" si="101"/>
        <v>108</v>
      </c>
      <c r="G208" s="475">
        <f t="shared" si="101"/>
        <v>108</v>
      </c>
      <c r="H208" s="475">
        <f t="shared" si="101"/>
        <v>108</v>
      </c>
      <c r="I208" s="475">
        <f t="shared" si="101"/>
        <v>108</v>
      </c>
      <c r="J208" s="475">
        <f t="shared" si="101"/>
        <v>108</v>
      </c>
      <c r="K208" s="475">
        <f t="shared" si="101"/>
        <v>108</v>
      </c>
      <c r="L208" s="475">
        <f t="shared" si="101"/>
        <v>108</v>
      </c>
      <c r="M208" s="475">
        <f t="shared" si="101"/>
        <v>108</v>
      </c>
      <c r="N208" s="475">
        <f t="shared" si="101"/>
        <v>108</v>
      </c>
      <c r="O208" s="475">
        <f t="shared" si="101"/>
        <v>108</v>
      </c>
    </row>
    <row r="209" spans="1:16" ht="15" customHeight="1" x14ac:dyDescent="0.25">
      <c r="B209" s="476" t="s">
        <v>290</v>
      </c>
      <c r="C209" s="477"/>
      <c r="D209" s="478">
        <f>D199+D203</f>
        <v>22</v>
      </c>
      <c r="E209" s="478">
        <f t="shared" ref="E209:O210" si="102">E199+E203</f>
        <v>22</v>
      </c>
      <c r="F209" s="478">
        <f t="shared" si="102"/>
        <v>22</v>
      </c>
      <c r="G209" s="478">
        <f t="shared" si="102"/>
        <v>22</v>
      </c>
      <c r="H209" s="478">
        <f t="shared" si="102"/>
        <v>22</v>
      </c>
      <c r="I209" s="478">
        <f t="shared" si="102"/>
        <v>22</v>
      </c>
      <c r="J209" s="478">
        <f t="shared" si="102"/>
        <v>22</v>
      </c>
      <c r="K209" s="478">
        <f t="shared" si="102"/>
        <v>22</v>
      </c>
      <c r="L209" s="478">
        <f t="shared" si="102"/>
        <v>22</v>
      </c>
      <c r="M209" s="478">
        <f t="shared" si="102"/>
        <v>22</v>
      </c>
      <c r="N209" s="478">
        <f t="shared" si="102"/>
        <v>22</v>
      </c>
      <c r="O209" s="478">
        <f t="shared" si="102"/>
        <v>22</v>
      </c>
    </row>
    <row r="210" spans="1:16" ht="15" customHeight="1" x14ac:dyDescent="0.25">
      <c r="B210" s="473" t="s">
        <v>291</v>
      </c>
      <c r="C210" s="474"/>
      <c r="D210" s="479">
        <f>D200+D204</f>
        <v>20</v>
      </c>
      <c r="E210" s="479">
        <f t="shared" si="102"/>
        <v>20</v>
      </c>
      <c r="F210" s="479">
        <f t="shared" si="102"/>
        <v>20</v>
      </c>
      <c r="G210" s="479">
        <f t="shared" si="102"/>
        <v>20</v>
      </c>
      <c r="H210" s="479">
        <f t="shared" si="102"/>
        <v>20</v>
      </c>
      <c r="I210" s="479">
        <f t="shared" si="102"/>
        <v>20</v>
      </c>
      <c r="J210" s="479">
        <f t="shared" si="102"/>
        <v>20</v>
      </c>
      <c r="K210" s="479">
        <f t="shared" si="102"/>
        <v>20</v>
      </c>
      <c r="L210" s="479">
        <f t="shared" si="102"/>
        <v>20</v>
      </c>
      <c r="M210" s="479">
        <f t="shared" si="102"/>
        <v>20</v>
      </c>
      <c r="N210" s="479">
        <f t="shared" si="102"/>
        <v>20</v>
      </c>
      <c r="O210" s="479">
        <f t="shared" si="102"/>
        <v>20</v>
      </c>
    </row>
    <row r="211" spans="1:16" ht="17.25" customHeight="1" x14ac:dyDescent="0.25">
      <c r="B211" s="480" t="s">
        <v>292</v>
      </c>
      <c r="C211" s="481"/>
      <c r="D211" s="482">
        <f>D207+D209</f>
        <v>110</v>
      </c>
      <c r="E211" s="482">
        <f t="shared" ref="E211:O212" si="103">E207+E209</f>
        <v>110</v>
      </c>
      <c r="F211" s="482">
        <f t="shared" si="103"/>
        <v>110</v>
      </c>
      <c r="G211" s="482">
        <f t="shared" si="103"/>
        <v>110</v>
      </c>
      <c r="H211" s="482">
        <f t="shared" si="103"/>
        <v>110</v>
      </c>
      <c r="I211" s="482">
        <f t="shared" si="103"/>
        <v>110</v>
      </c>
      <c r="J211" s="482">
        <f t="shared" si="103"/>
        <v>110</v>
      </c>
      <c r="K211" s="482">
        <f t="shared" si="103"/>
        <v>110</v>
      </c>
      <c r="L211" s="482">
        <f t="shared" si="103"/>
        <v>110</v>
      </c>
      <c r="M211" s="482">
        <f t="shared" si="103"/>
        <v>110</v>
      </c>
      <c r="N211" s="482">
        <f t="shared" si="103"/>
        <v>110</v>
      </c>
      <c r="O211" s="482">
        <f t="shared" si="103"/>
        <v>110</v>
      </c>
    </row>
    <row r="212" spans="1:16" ht="18" customHeight="1" thickBot="1" x14ac:dyDescent="0.3">
      <c r="B212" s="483" t="s">
        <v>293</v>
      </c>
      <c r="C212" s="484"/>
      <c r="D212" s="485">
        <f>D208+D210</f>
        <v>128</v>
      </c>
      <c r="E212" s="485">
        <f t="shared" si="103"/>
        <v>128</v>
      </c>
      <c r="F212" s="485">
        <f t="shared" si="103"/>
        <v>128</v>
      </c>
      <c r="G212" s="485">
        <f t="shared" si="103"/>
        <v>128</v>
      </c>
      <c r="H212" s="485">
        <f t="shared" si="103"/>
        <v>128</v>
      </c>
      <c r="I212" s="485">
        <f t="shared" si="103"/>
        <v>128</v>
      </c>
      <c r="J212" s="485">
        <f t="shared" si="103"/>
        <v>128</v>
      </c>
      <c r="K212" s="485">
        <f t="shared" si="103"/>
        <v>128</v>
      </c>
      <c r="L212" s="485">
        <f t="shared" si="103"/>
        <v>128</v>
      </c>
      <c r="M212" s="485">
        <f t="shared" si="103"/>
        <v>128</v>
      </c>
      <c r="N212" s="485">
        <f t="shared" si="103"/>
        <v>128</v>
      </c>
      <c r="O212" s="485">
        <f t="shared" si="103"/>
        <v>128</v>
      </c>
    </row>
    <row r="213" spans="1:16" ht="18.75" x14ac:dyDescent="0.25">
      <c r="B213" s="486" t="s">
        <v>294</v>
      </c>
      <c r="C213" s="487" t="s">
        <v>295</v>
      </c>
      <c r="D213" s="488">
        <f t="shared" ref="D213:O213" si="104">D211/(D171/1000)</f>
        <v>4.5437647156016361</v>
      </c>
      <c r="E213" s="488">
        <f t="shared" si="104"/>
        <v>4.5287990448351101</v>
      </c>
      <c r="F213" s="488">
        <f t="shared" si="104"/>
        <v>4.518381597864038</v>
      </c>
      <c r="G213" s="488">
        <f t="shared" si="104"/>
        <v>4.5006341802708567</v>
      </c>
      <c r="H213" s="488">
        <f t="shared" si="104"/>
        <v>4.4901624622418153</v>
      </c>
      <c r="I213" s="488">
        <f t="shared" si="104"/>
        <v>4.4822949350067232</v>
      </c>
      <c r="J213" s="488">
        <f t="shared" si="104"/>
        <v>4.476093591047813</v>
      </c>
      <c r="K213" s="489">
        <f t="shared" si="104"/>
        <v>4.4662795891022773</v>
      </c>
      <c r="L213" s="489">
        <f t="shared" si="104"/>
        <v>4.4606650446066505</v>
      </c>
      <c r="M213" s="489">
        <f t="shared" si="104"/>
        <v>4.4539822650524359</v>
      </c>
      <c r="N213" s="489">
        <f t="shared" si="104"/>
        <v>4.4489383215369056</v>
      </c>
      <c r="O213" s="489">
        <f t="shared" si="104"/>
        <v>4.4460611939695243</v>
      </c>
    </row>
    <row r="214" spans="1:16" ht="19.5" thickBot="1" x14ac:dyDescent="0.3">
      <c r="B214" s="490"/>
      <c r="C214" s="491" t="s">
        <v>296</v>
      </c>
      <c r="D214" s="492">
        <f t="shared" ref="D214:O214" si="105">D207/(D171/1000)</f>
        <v>3.6350117724813087</v>
      </c>
      <c r="E214" s="492">
        <f t="shared" si="105"/>
        <v>3.6230392358680881</v>
      </c>
      <c r="F214" s="492">
        <f t="shared" si="105"/>
        <v>3.6147052782912303</v>
      </c>
      <c r="G214" s="492">
        <f t="shared" si="105"/>
        <v>3.6005073442166853</v>
      </c>
      <c r="H214" s="492">
        <f t="shared" si="105"/>
        <v>3.5921299697934526</v>
      </c>
      <c r="I214" s="492">
        <f t="shared" si="105"/>
        <v>3.5858359480053785</v>
      </c>
      <c r="J214" s="492">
        <f t="shared" si="105"/>
        <v>3.5808748728382502</v>
      </c>
      <c r="K214" s="493">
        <f t="shared" si="105"/>
        <v>3.5730236712818222</v>
      </c>
      <c r="L214" s="493">
        <f t="shared" si="105"/>
        <v>3.5685320356853203</v>
      </c>
      <c r="M214" s="493">
        <f t="shared" si="105"/>
        <v>3.5631858120419486</v>
      </c>
      <c r="N214" s="493">
        <f t="shared" si="105"/>
        <v>3.5591506572295244</v>
      </c>
      <c r="O214" s="493">
        <f t="shared" si="105"/>
        <v>3.5568489551756195</v>
      </c>
    </row>
    <row r="215" spans="1:16" x14ac:dyDescent="0.25">
      <c r="B215" s="159" t="s">
        <v>297</v>
      </c>
      <c r="C215" s="494" t="s">
        <v>298</v>
      </c>
      <c r="D215" s="162">
        <f>+PIGOO!B35</f>
        <v>0</v>
      </c>
      <c r="E215" s="162">
        <f>+PIGOO!C35</f>
        <v>94500</v>
      </c>
      <c r="F215" s="162">
        <f>+PIGOO!D35</f>
        <v>0</v>
      </c>
      <c r="G215" s="162">
        <f>+PIGOO!E35</f>
        <v>24530</v>
      </c>
      <c r="H215" s="162">
        <f>+PIGOO!F35</f>
        <v>203550.38</v>
      </c>
      <c r="I215" s="162">
        <f>+PIGOO!G35</f>
        <v>43805.7</v>
      </c>
      <c r="J215" s="162">
        <f>+PIGOO!H35</f>
        <v>0</v>
      </c>
      <c r="K215" s="162">
        <f>+PIGOO!I35</f>
        <v>6603668.75</v>
      </c>
      <c r="L215" s="162">
        <f>+PIGOO!J35</f>
        <v>238312.98</v>
      </c>
      <c r="M215" s="162">
        <f>+PIGOO!K35</f>
        <v>36526.11</v>
      </c>
      <c r="N215" s="162">
        <f>+PIGOO!L35</f>
        <v>570438.24</v>
      </c>
      <c r="O215" s="162">
        <f>+PIGOO!M35</f>
        <v>16020658.85</v>
      </c>
      <c r="P215" s="157">
        <v>21</v>
      </c>
    </row>
    <row r="216" spans="1:16" ht="15.75" thickBot="1" x14ac:dyDescent="0.3">
      <c r="B216" s="159"/>
      <c r="C216" s="495" t="s">
        <v>299</v>
      </c>
      <c r="D216" s="172">
        <v>0</v>
      </c>
      <c r="E216" s="172">
        <f>D216+E215</f>
        <v>94500</v>
      </c>
      <c r="F216" s="172">
        <f t="shared" ref="F216:O216" si="106">E216+F215</f>
        <v>94500</v>
      </c>
      <c r="G216" s="172">
        <f t="shared" si="106"/>
        <v>119030</v>
      </c>
      <c r="H216" s="172">
        <f t="shared" si="106"/>
        <v>322580.38</v>
      </c>
      <c r="I216" s="172">
        <f t="shared" si="106"/>
        <v>366386.08</v>
      </c>
      <c r="J216" s="172">
        <f t="shared" si="106"/>
        <v>366386.08</v>
      </c>
      <c r="K216" s="172">
        <f t="shared" si="106"/>
        <v>6970054.8300000001</v>
      </c>
      <c r="L216" s="172">
        <f t="shared" si="106"/>
        <v>7208367.8100000005</v>
      </c>
      <c r="M216" s="172">
        <f t="shared" si="106"/>
        <v>7244893.9200000009</v>
      </c>
      <c r="N216" s="172">
        <f t="shared" si="106"/>
        <v>7815332.1600000011</v>
      </c>
      <c r="O216" s="172">
        <f t="shared" si="106"/>
        <v>23835991.010000002</v>
      </c>
    </row>
    <row r="217" spans="1:16" x14ac:dyDescent="0.25">
      <c r="A217" s="496" t="s">
        <v>300</v>
      </c>
      <c r="B217" s="224" t="s">
        <v>301</v>
      </c>
      <c r="C217" s="497" t="s">
        <v>302</v>
      </c>
      <c r="D217" s="177">
        <v>500</v>
      </c>
      <c r="E217" s="190">
        <v>337577.52</v>
      </c>
      <c r="F217" s="190">
        <v>506116.28</v>
      </c>
      <c r="G217" s="190">
        <v>674655.04</v>
      </c>
      <c r="H217" s="190">
        <v>843193.8</v>
      </c>
      <c r="I217" s="190">
        <f>PIGOO!G44</f>
        <v>843193.8</v>
      </c>
      <c r="J217" s="190">
        <f>PIGOO!H44</f>
        <v>1180271.32</v>
      </c>
      <c r="K217" s="190">
        <f>PIGOO!I44</f>
        <v>1348810.08</v>
      </c>
      <c r="L217" s="190">
        <f>PIGOO!J44</f>
        <v>1517348.84</v>
      </c>
      <c r="M217" s="190">
        <f>PIGOO!K44</f>
        <v>1685887.6</v>
      </c>
      <c r="N217" s="190">
        <f>PIGOO!L44</f>
        <v>500</v>
      </c>
      <c r="O217" s="190">
        <f>PIGOO!M44</f>
        <v>500</v>
      </c>
    </row>
    <row r="218" spans="1:16" x14ac:dyDescent="0.25">
      <c r="A218" s="498"/>
      <c r="B218" s="226"/>
      <c r="C218" s="499" t="s">
        <v>303</v>
      </c>
      <c r="D218" s="228">
        <f>PIGOO!B50</f>
        <v>139848.98000000001</v>
      </c>
      <c r="E218" s="229">
        <v>291227.12</v>
      </c>
      <c r="F218" s="229">
        <v>458310.72</v>
      </c>
      <c r="G218" s="229">
        <v>160594.20000000001</v>
      </c>
      <c r="H218" s="229">
        <v>302043.53000000003</v>
      </c>
      <c r="I218" s="229">
        <f>PIGOO!G50</f>
        <v>476247.1</v>
      </c>
      <c r="J218" s="229">
        <f>PIGOO!H50</f>
        <v>187935.11</v>
      </c>
      <c r="K218" s="229">
        <f>PIGOO!I50</f>
        <v>353386.2</v>
      </c>
      <c r="L218" s="229">
        <f>PIGOO!J50</f>
        <v>506974.62</v>
      </c>
      <c r="M218" s="229">
        <f>PIGOO!K50</f>
        <v>148507.88</v>
      </c>
      <c r="N218" s="229">
        <f>PIGOO!L50</f>
        <v>303853.62</v>
      </c>
      <c r="O218" s="229">
        <f>PIGOO!M50</f>
        <v>455614.59</v>
      </c>
    </row>
    <row r="219" spans="1:16" ht="15.75" thickBot="1" x14ac:dyDescent="0.3">
      <c r="A219" s="500"/>
      <c r="B219" s="231"/>
      <c r="C219" s="501" t="s">
        <v>304</v>
      </c>
      <c r="D219" s="502">
        <v>17771652.670000002</v>
      </c>
      <c r="E219" s="503">
        <v>19827327.719999999</v>
      </c>
      <c r="F219" s="503">
        <v>21095826.309999999</v>
      </c>
      <c r="G219" s="503">
        <v>22155902.800000001</v>
      </c>
      <c r="H219" s="503">
        <v>19213220.27</v>
      </c>
      <c r="I219" s="503">
        <f>PIGOO!G45</f>
        <v>23670285.390000001</v>
      </c>
      <c r="J219" s="503">
        <f>PIGOO!H45</f>
        <v>26237370.469999999</v>
      </c>
      <c r="K219" s="503">
        <f>PIGOO!I45</f>
        <v>30103263.629999999</v>
      </c>
      <c r="L219" s="503">
        <f>PIGOO!J45</f>
        <v>32509837.949999999</v>
      </c>
      <c r="M219" s="503">
        <f>PIGOO!K45</f>
        <v>33605468.780000001</v>
      </c>
      <c r="N219" s="503">
        <f>PIGOO!L45</f>
        <v>30536645.190000001</v>
      </c>
      <c r="O219" s="503">
        <f>PIGOO!M45</f>
        <v>27650143.899999999</v>
      </c>
    </row>
    <row r="220" spans="1:16" x14ac:dyDescent="0.25">
      <c r="B220" s="504"/>
      <c r="C220" s="142"/>
    </row>
    <row r="221" spans="1:16" x14ac:dyDescent="0.25">
      <c r="B221" s="504"/>
      <c r="C221" s="142"/>
    </row>
    <row r="222" spans="1:16" x14ac:dyDescent="0.25">
      <c r="B222" s="142"/>
    </row>
    <row r="223" spans="1:16" x14ac:dyDescent="0.25">
      <c r="B223" s="142"/>
    </row>
    <row r="224" spans="1:16" x14ac:dyDescent="0.25">
      <c r="B224" s="142"/>
    </row>
    <row r="225" spans="2:2" x14ac:dyDescent="0.25">
      <c r="B225" s="142"/>
    </row>
    <row r="226" spans="2:2" x14ac:dyDescent="0.25">
      <c r="B226" s="142"/>
    </row>
    <row r="227" spans="2:2" x14ac:dyDescent="0.25">
      <c r="B227" s="142"/>
    </row>
    <row r="228" spans="2:2" x14ac:dyDescent="0.25">
      <c r="B228" s="142"/>
    </row>
  </sheetData>
  <mergeCells count="79">
    <mergeCell ref="B213:B214"/>
    <mergeCell ref="B215:B216"/>
    <mergeCell ref="A217:A219"/>
    <mergeCell ref="B217:B219"/>
    <mergeCell ref="B207:C207"/>
    <mergeCell ref="B208:C208"/>
    <mergeCell ref="B209:C209"/>
    <mergeCell ref="B210:C210"/>
    <mergeCell ref="B211:C211"/>
    <mergeCell ref="B212:C212"/>
    <mergeCell ref="A162:A190"/>
    <mergeCell ref="B162:B184"/>
    <mergeCell ref="A191:A206"/>
    <mergeCell ref="B191:B194"/>
    <mergeCell ref="B195:B198"/>
    <mergeCell ref="B199:B202"/>
    <mergeCell ref="B203:B206"/>
    <mergeCell ref="A145:A146"/>
    <mergeCell ref="B145:B150"/>
    <mergeCell ref="B151:B153"/>
    <mergeCell ref="A154:A155"/>
    <mergeCell ref="B154:B161"/>
    <mergeCell ref="A159:A161"/>
    <mergeCell ref="A127:A128"/>
    <mergeCell ref="B127:B132"/>
    <mergeCell ref="A133:A134"/>
    <mergeCell ref="B133:B138"/>
    <mergeCell ref="A139:A140"/>
    <mergeCell ref="B139:B144"/>
    <mergeCell ref="A109:A110"/>
    <mergeCell ref="B109:B114"/>
    <mergeCell ref="A115:A116"/>
    <mergeCell ref="B115:B120"/>
    <mergeCell ref="A121:A122"/>
    <mergeCell ref="B121:B126"/>
    <mergeCell ref="K97:K98"/>
    <mergeCell ref="L97:L98"/>
    <mergeCell ref="M97:M98"/>
    <mergeCell ref="N97:N98"/>
    <mergeCell ref="O97:O98"/>
    <mergeCell ref="B99:B108"/>
    <mergeCell ref="E97:E98"/>
    <mergeCell ref="F97:F98"/>
    <mergeCell ref="G97:G98"/>
    <mergeCell ref="H97:H98"/>
    <mergeCell ref="I97:I98"/>
    <mergeCell ref="J97:J98"/>
    <mergeCell ref="B85:B87"/>
    <mergeCell ref="B88:B90"/>
    <mergeCell ref="B91:B93"/>
    <mergeCell ref="B95:B96"/>
    <mergeCell ref="B97:B98"/>
    <mergeCell ref="D97:D98"/>
    <mergeCell ref="A61:A62"/>
    <mergeCell ref="B61:B66"/>
    <mergeCell ref="A67:A68"/>
    <mergeCell ref="B67:B72"/>
    <mergeCell ref="B73:B78"/>
    <mergeCell ref="A79:A80"/>
    <mergeCell ref="B79:B84"/>
    <mergeCell ref="B40:B45"/>
    <mergeCell ref="A46:A47"/>
    <mergeCell ref="B46:B51"/>
    <mergeCell ref="B52:B54"/>
    <mergeCell ref="A55:A56"/>
    <mergeCell ref="B55:B60"/>
    <mergeCell ref="A19:A20"/>
    <mergeCell ref="B19:B24"/>
    <mergeCell ref="A25:A26"/>
    <mergeCell ref="B25:B30"/>
    <mergeCell ref="B31:B33"/>
    <mergeCell ref="A34:A35"/>
    <mergeCell ref="B34:B39"/>
    <mergeCell ref="A1:O4"/>
    <mergeCell ref="B6:C6"/>
    <mergeCell ref="A7:A8"/>
    <mergeCell ref="B7:B12"/>
    <mergeCell ref="A13:A14"/>
    <mergeCell ref="B13:B18"/>
  </mergeCells>
  <pageMargins left="0.31496062992125984" right="0.31496062992125984" top="0.35433070866141736" bottom="0.35433070866141736" header="0.31496062992125984" footer="0.31496062992125984"/>
  <pageSetup scale="40" fitToHeight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PIGOO</vt:lpstr>
      <vt:lpstr>INDICADORES</vt:lpstr>
      <vt:lpstr>PIGOO!Área_de_impresión</vt:lpstr>
      <vt:lpstr>PIGOO!Títulos_a_imprimir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jose_luis</dc:creator>
  <cp:lastModifiedBy>jose_luis</cp:lastModifiedBy>
  <dcterms:created xsi:type="dcterms:W3CDTF">2022-02-01T19:39:27Z</dcterms:created>
  <dcterms:modified xsi:type="dcterms:W3CDTF">2022-02-01T19:39:54Z</dcterms:modified>
</cp:coreProperties>
</file>